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evmac/Sun pharma Modal/"/>
    </mc:Choice>
  </mc:AlternateContent>
  <xr:revisionPtr revIDLastSave="0" documentId="13_ncr:1_{2B877D69-A2A9-1646-96AD-0C98C6B7DE93}" xr6:coauthVersionLast="47" xr6:coauthVersionMax="47" xr10:uidLastSave="{00000000-0000-0000-0000-000000000000}"/>
  <bookViews>
    <workbookView xWindow="0" yWindow="740" windowWidth="29400" windowHeight="18380" xr2:uid="{0CE6992C-647B-6F43-9FE6-78ACC7ED64B0}"/>
  </bookViews>
  <sheets>
    <sheet name="Sheet1" sheetId="1" r:id="rId1"/>
    <sheet name="LTM Calc" sheetId="2" r:id="rId2"/>
    <sheet name="Sheet3" sheetId="3" r:id="rId3"/>
    <sheet name="Sheet4" sheetId="4" r:id="rId4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4" i="1" l="1"/>
  <c r="H55" i="1"/>
  <c r="H56" i="1"/>
  <c r="H57" i="1"/>
  <c r="H58" i="1"/>
  <c r="H59" i="1"/>
  <c r="H53" i="1"/>
  <c r="F53" i="1"/>
  <c r="F54" i="1"/>
  <c r="F55" i="1"/>
  <c r="F56" i="1"/>
  <c r="F57" i="1"/>
  <c r="F58" i="1"/>
  <c r="F59" i="1"/>
  <c r="G54" i="1"/>
  <c r="G55" i="1"/>
  <c r="G56" i="1"/>
  <c r="G57" i="1"/>
  <c r="G58" i="1"/>
  <c r="G59" i="1"/>
  <c r="G53" i="1"/>
  <c r="G48" i="1"/>
  <c r="K42" i="1"/>
  <c r="G42" i="1"/>
  <c r="F42" i="1"/>
  <c r="I24" i="1" l="1"/>
  <c r="J45" i="1" s="1"/>
  <c r="H26" i="1"/>
  <c r="I22" i="1"/>
  <c r="J43" i="1" s="1"/>
  <c r="H22" i="1"/>
  <c r="G28" i="1"/>
  <c r="G49" i="1" s="1"/>
  <c r="G22" i="1"/>
  <c r="G43" i="1" s="1"/>
  <c r="F24" i="1"/>
  <c r="F25" i="1"/>
  <c r="K53" i="2"/>
  <c r="I28" i="1" s="1"/>
  <c r="J49" i="1" s="1"/>
  <c r="K52" i="2"/>
  <c r="I27" i="1" s="1"/>
  <c r="J48" i="1" s="1"/>
  <c r="K51" i="2"/>
  <c r="I26" i="1" s="1"/>
  <c r="J47" i="1" s="1"/>
  <c r="K50" i="2"/>
  <c r="I25" i="1" s="1"/>
  <c r="J46" i="1" s="1"/>
  <c r="K49" i="2"/>
  <c r="K48" i="2"/>
  <c r="I23" i="1" s="1"/>
  <c r="J44" i="1" s="1"/>
  <c r="K47" i="2"/>
  <c r="K42" i="2"/>
  <c r="H28" i="1" s="1"/>
  <c r="K41" i="2"/>
  <c r="H27" i="1" s="1"/>
  <c r="K40" i="2"/>
  <c r="K39" i="2"/>
  <c r="H25" i="1" s="1"/>
  <c r="K38" i="2"/>
  <c r="H24" i="1" s="1"/>
  <c r="K37" i="2"/>
  <c r="H23" i="1" s="1"/>
  <c r="K36" i="2"/>
  <c r="K30" i="2"/>
  <c r="K29" i="2"/>
  <c r="G27" i="1" s="1"/>
  <c r="K28" i="2"/>
  <c r="G26" i="1" s="1"/>
  <c r="G47" i="1" s="1"/>
  <c r="K27" i="2"/>
  <c r="G25" i="1" s="1"/>
  <c r="G46" i="1" s="1"/>
  <c r="K26" i="2"/>
  <c r="G24" i="1" s="1"/>
  <c r="G45" i="1" s="1"/>
  <c r="K25" i="2"/>
  <c r="G23" i="1" s="1"/>
  <c r="G44" i="1" s="1"/>
  <c r="K24" i="2"/>
  <c r="K18" i="2"/>
  <c r="F28" i="1" s="1"/>
  <c r="K17" i="2"/>
  <c r="F27" i="1" s="1"/>
  <c r="K16" i="2"/>
  <c r="F26" i="1" s="1"/>
  <c r="K15" i="2"/>
  <c r="K14" i="2"/>
  <c r="K13" i="2"/>
  <c r="F23" i="1" s="1"/>
  <c r="K12" i="2"/>
  <c r="F22" i="1" s="1"/>
  <c r="H18" i="1"/>
  <c r="F38" i="1" s="1"/>
  <c r="H17" i="1"/>
  <c r="F37" i="1" s="1"/>
  <c r="H16" i="1"/>
  <c r="F36" i="1" s="1"/>
  <c r="H15" i="1"/>
  <c r="F35" i="1" s="1"/>
  <c r="H14" i="1"/>
  <c r="F34" i="1" s="1"/>
  <c r="H13" i="1"/>
  <c r="F33" i="1" s="1"/>
  <c r="H12" i="1"/>
  <c r="F32" i="1" s="1"/>
  <c r="J32" i="1" l="1"/>
  <c r="F43" i="1" s="1"/>
  <c r="H43" i="1" s="1"/>
  <c r="K43" i="1"/>
  <c r="L43" i="1" s="1"/>
  <c r="J33" i="1"/>
  <c r="F44" i="1" s="1"/>
  <c r="K44" i="1"/>
  <c r="L44" i="1" s="1"/>
  <c r="J35" i="1"/>
  <c r="F46" i="1" s="1"/>
  <c r="H46" i="1" s="1"/>
  <c r="K46" i="1"/>
  <c r="L46" i="1" s="1"/>
  <c r="J37" i="1"/>
  <c r="F48" i="1" s="1"/>
  <c r="H48" i="1" s="1"/>
  <c r="K48" i="1"/>
  <c r="L48" i="1" s="1"/>
  <c r="J34" i="1"/>
  <c r="F45" i="1" s="1"/>
  <c r="H45" i="1" s="1"/>
  <c r="K45" i="1"/>
  <c r="L45" i="1" s="1"/>
  <c r="J36" i="1"/>
  <c r="F47" i="1" s="1"/>
  <c r="H47" i="1" s="1"/>
  <c r="K47" i="1"/>
  <c r="L47" i="1" s="1"/>
  <c r="J38" i="1"/>
  <c r="F49" i="1" s="1"/>
  <c r="H49" i="1" s="1"/>
  <c r="K49" i="1"/>
  <c r="L49" i="1" s="1"/>
  <c r="H44" i="1"/>
  <c r="I46" i="1" l="1"/>
  <c r="I44" i="1"/>
  <c r="I43" i="1"/>
  <c r="I47" i="1"/>
  <c r="I45" i="1"/>
  <c r="M47" i="1"/>
  <c r="M46" i="1"/>
  <c r="M45" i="1"/>
  <c r="M44" i="1"/>
  <c r="M43" i="1"/>
</calcChain>
</file>

<file path=xl/sharedStrings.xml><?xml version="1.0" encoding="utf-8"?>
<sst xmlns="http://schemas.openxmlformats.org/spreadsheetml/2006/main" count="128" uniqueCount="49">
  <si>
    <t>Relative Valuation</t>
  </si>
  <si>
    <t>Valuation Purpose</t>
  </si>
  <si>
    <t>Valuation Date</t>
  </si>
  <si>
    <t>Currency</t>
  </si>
  <si>
    <t>Share Count Definition</t>
  </si>
  <si>
    <t>Basic</t>
  </si>
  <si>
    <t>Rupees</t>
  </si>
  <si>
    <t>Merger and Acquisation</t>
  </si>
  <si>
    <t>Assumptions</t>
  </si>
  <si>
    <t xml:space="preserve">Peers </t>
  </si>
  <si>
    <t>Godrej Consumer</t>
  </si>
  <si>
    <t>Dabur India</t>
  </si>
  <si>
    <t>Colgate-Plamoliv</t>
  </si>
  <si>
    <t>P&amp;G Hygein</t>
  </si>
  <si>
    <t>Gillette India</t>
  </si>
  <si>
    <t>Emami</t>
  </si>
  <si>
    <t>Honasa Consumer</t>
  </si>
  <si>
    <t xml:space="preserve">Share Price </t>
  </si>
  <si>
    <t>Share Outstanding</t>
  </si>
  <si>
    <t xml:space="preserve">Market Cap </t>
  </si>
  <si>
    <t>Total Debt</t>
  </si>
  <si>
    <t>Cash and Cash Equivalent</t>
  </si>
  <si>
    <t>Minority Inerest</t>
  </si>
  <si>
    <t>Recent Intrim Dividend YTD</t>
  </si>
  <si>
    <t>Prefrred Stock</t>
  </si>
  <si>
    <t>Revenue</t>
  </si>
  <si>
    <t>EBITDA</t>
  </si>
  <si>
    <t xml:space="preserve">EBIT </t>
  </si>
  <si>
    <t xml:space="preserve">Net Income </t>
  </si>
  <si>
    <t>Last Year data</t>
  </si>
  <si>
    <t>Current YTD</t>
  </si>
  <si>
    <t>last Year To same date</t>
  </si>
  <si>
    <t>Last twelve Month Data</t>
  </si>
  <si>
    <t>Last Twelve Month</t>
  </si>
  <si>
    <t>LTM Sales</t>
  </si>
  <si>
    <t>LTM EBITDA</t>
  </si>
  <si>
    <t>LTM EBIT</t>
  </si>
  <si>
    <t>LTM NET PROFIT</t>
  </si>
  <si>
    <t>LTM</t>
  </si>
  <si>
    <t>EBIT</t>
  </si>
  <si>
    <t>Net profit</t>
  </si>
  <si>
    <t>Calculation of EV</t>
  </si>
  <si>
    <t>Company Name</t>
  </si>
  <si>
    <t>EV</t>
  </si>
  <si>
    <t>Multiple</t>
  </si>
  <si>
    <t>EV/EBITDA</t>
  </si>
  <si>
    <t>Net Profit</t>
  </si>
  <si>
    <t>P/E</t>
  </si>
  <si>
    <t>EV*EBITDA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</si>
</sst>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₹&quot;#,##0.00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ptos Narrow"/>
      <scheme val="minor"/>
    </font>
    <font>
      <b/>
      <sz val="22"/>
      <color theme="1"/>
      <name val="Aptos Narrow"/>
      <scheme val="minor"/>
    </font>
    <font>
      <b/>
      <sz val="24"/>
      <color theme="1"/>
      <name val="Aptos Narrow"/>
      <scheme val="minor"/>
    </font>
    <font>
      <b/>
      <sz val="36"/>
      <color theme="1"/>
      <name val="Aptos Narrow"/>
      <scheme val="minor"/>
    </font>
    <font>
      <sz val="20"/>
      <color rgb="FF000000"/>
      <name val="Aptos Narrow"/>
      <family val="2"/>
      <scheme val="minor"/>
    </font>
    <font>
      <b/>
      <sz val="30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/>
    <xf numFmtId="0" fontId="3" fillId="2" borderId="0" xfId="0" applyFont="1" applyFill="1"/>
    <xf numFmtId="15" fontId="2" fillId="2" borderId="0" xfId="0" applyNumberFormat="1" applyFont="1" applyFill="1"/>
    <xf numFmtId="0" fontId="2" fillId="2" borderId="2" xfId="0" applyFont="1" applyFill="1" applyBorder="1"/>
    <xf numFmtId="0" fontId="2" fillId="2" borderId="3" xfId="0" applyFont="1" applyFill="1" applyBorder="1"/>
    <xf numFmtId="164" fontId="2" fillId="2" borderId="0" xfId="0" applyNumberFormat="1" applyFont="1" applyFill="1"/>
    <xf numFmtId="0" fontId="3" fillId="2" borderId="2" xfId="0" applyFont="1" applyFill="1" applyBorder="1" applyAlignment="1">
      <alignment horizontal="right"/>
    </xf>
    <xf numFmtId="0" fontId="2" fillId="2" borderId="4" xfId="0" applyFont="1" applyFill="1" applyBorder="1"/>
    <xf numFmtId="164" fontId="2" fillId="2" borderId="5" xfId="0" applyNumberFormat="1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164" fontId="2" fillId="2" borderId="7" xfId="0" applyNumberFormat="1" applyFont="1" applyFill="1" applyBorder="1"/>
    <xf numFmtId="164" fontId="2" fillId="2" borderId="8" xfId="0" applyNumberFormat="1" applyFont="1" applyFill="1" applyBorder="1"/>
    <xf numFmtId="0" fontId="3" fillId="2" borderId="0" xfId="0" applyFont="1" applyFill="1" applyAlignment="1">
      <alignment horizontal="right"/>
    </xf>
    <xf numFmtId="0" fontId="5" fillId="2" borderId="0" xfId="0" applyFont="1" applyFill="1"/>
    <xf numFmtId="0" fontId="6" fillId="2" borderId="0" xfId="0" applyFont="1" applyFill="1"/>
    <xf numFmtId="0" fontId="8" fillId="2" borderId="0" xfId="0" applyFont="1" applyFill="1" applyAlignment="1">
      <alignment vertical="center"/>
    </xf>
    <xf numFmtId="0" fontId="7" fillId="3" borderId="4" xfId="0" applyFont="1" applyFill="1" applyBorder="1"/>
    <xf numFmtId="0" fontId="2" fillId="2" borderId="5" xfId="0" applyFont="1" applyFill="1" applyBorder="1"/>
    <xf numFmtId="0" fontId="7" fillId="3" borderId="6" xfId="0" applyFont="1" applyFill="1" applyBorder="1"/>
    <xf numFmtId="0" fontId="2" fillId="2" borderId="8" xfId="0" applyFont="1" applyFill="1" applyBorder="1"/>
    <xf numFmtId="0" fontId="2" fillId="2" borderId="1" xfId="0" applyFont="1" applyFill="1" applyBorder="1"/>
    <xf numFmtId="0" fontId="3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right"/>
    </xf>
    <xf numFmtId="0" fontId="5" fillId="2" borderId="1" xfId="0" applyFont="1" applyFill="1" applyBorder="1"/>
    <xf numFmtId="0" fontId="3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right"/>
    </xf>
    <xf numFmtId="0" fontId="5" fillId="2" borderId="3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164" fontId="2" fillId="2" borderId="4" xfId="0" applyNumberFormat="1" applyFont="1" applyFill="1" applyBorder="1"/>
    <xf numFmtId="164" fontId="2" fillId="2" borderId="6" xfId="0" applyNumberFormat="1" applyFont="1" applyFill="1" applyBorder="1"/>
    <xf numFmtId="164" fontId="2" fillId="2" borderId="0" xfId="1" applyNumberFormat="1" applyFont="1" applyFill="1" applyBorder="1" applyAlignment="1">
      <alignment horizontal="center"/>
    </xf>
    <xf numFmtId="164" fontId="2" fillId="2" borderId="7" xfId="1" applyNumberFormat="1" applyFont="1" applyFill="1" applyBorder="1" applyAlignment="1">
      <alignment horizontal="center"/>
    </xf>
    <xf numFmtId="43" fontId="2" fillId="2" borderId="0" xfId="1" applyFont="1" applyFill="1"/>
    <xf numFmtId="2" fontId="2" fillId="2" borderId="0" xfId="0" applyNumberFormat="1" applyFont="1" applyFill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9AD42-59E1-5D49-9152-8CD4112CD412}">
  <dimension ref="B2:M62"/>
  <sheetViews>
    <sheetView tabSelected="1" topLeftCell="A2" zoomScale="82" workbookViewId="0">
      <selection activeCell="H7" sqref="H7"/>
    </sheetView>
  </sheetViews>
  <sheetFormatPr baseColWidth="10" defaultRowHeight="27" x14ac:dyDescent="0.35"/>
  <cols>
    <col min="1" max="1" width="2.1640625" style="1" customWidth="1"/>
    <col min="2" max="5" width="10.83203125" style="1"/>
    <col min="6" max="6" width="21.5" style="1" customWidth="1"/>
    <col min="7" max="7" width="32.5" style="1" customWidth="1"/>
    <col min="8" max="8" width="38.5" style="1" customWidth="1"/>
    <col min="9" max="9" width="26.1640625" style="1" customWidth="1"/>
    <col min="10" max="10" width="43.5" style="1" bestFit="1" customWidth="1"/>
    <col min="11" max="12" width="26.6640625" style="1" customWidth="1"/>
    <col min="13" max="13" width="38.83203125" style="1" bestFit="1" customWidth="1"/>
    <col min="14" max="16384" width="10.83203125" style="1"/>
  </cols>
  <sheetData>
    <row r="2" spans="2:13" x14ac:dyDescent="0.35">
      <c r="C2" s="2" t="s">
        <v>0</v>
      </c>
    </row>
    <row r="4" spans="2:13" x14ac:dyDescent="0.35">
      <c r="C4" s="2" t="s">
        <v>8</v>
      </c>
    </row>
    <row r="5" spans="2:13" x14ac:dyDescent="0.35">
      <c r="C5" s="1">
        <v>1</v>
      </c>
      <c r="D5" s="1" t="s">
        <v>1</v>
      </c>
      <c r="G5" s="1" t="s">
        <v>7</v>
      </c>
    </row>
    <row r="6" spans="2:13" x14ac:dyDescent="0.35">
      <c r="C6" s="1">
        <v>2</v>
      </c>
      <c r="D6" s="1" t="s">
        <v>2</v>
      </c>
      <c r="G6" s="3">
        <v>45918</v>
      </c>
    </row>
    <row r="7" spans="2:13" x14ac:dyDescent="0.35">
      <c r="C7" s="1">
        <v>3</v>
      </c>
      <c r="D7" s="1" t="s">
        <v>3</v>
      </c>
      <c r="G7" s="1" t="s">
        <v>6</v>
      </c>
    </row>
    <row r="8" spans="2:13" x14ac:dyDescent="0.35">
      <c r="C8" s="1">
        <v>4</v>
      </c>
      <c r="D8" s="1" t="s">
        <v>4</v>
      </c>
      <c r="G8" s="1" t="s">
        <v>5</v>
      </c>
    </row>
    <row r="10" spans="2:13" ht="28" thickBot="1" x14ac:dyDescent="0.4"/>
    <row r="11" spans="2:13" ht="30" thickBot="1" x14ac:dyDescent="0.4">
      <c r="B11" s="2"/>
      <c r="C11" s="38" t="s">
        <v>9</v>
      </c>
      <c r="D11" s="39"/>
      <c r="E11" s="39"/>
      <c r="F11" s="25" t="s">
        <v>17</v>
      </c>
      <c r="G11" s="25" t="s">
        <v>18</v>
      </c>
      <c r="H11" s="25" t="s">
        <v>19</v>
      </c>
      <c r="I11" s="25" t="s">
        <v>20</v>
      </c>
      <c r="J11" s="25" t="s">
        <v>21</v>
      </c>
      <c r="K11" s="25" t="s">
        <v>22</v>
      </c>
      <c r="L11" s="25" t="s">
        <v>24</v>
      </c>
      <c r="M11" s="26" t="s">
        <v>23</v>
      </c>
    </row>
    <row r="12" spans="2:13" x14ac:dyDescent="0.35">
      <c r="C12" s="8" t="s">
        <v>10</v>
      </c>
      <c r="F12" s="6">
        <v>1235.5999999999999</v>
      </c>
      <c r="G12" s="6">
        <v>102.28</v>
      </c>
      <c r="H12" s="6">
        <f t="shared" ref="H12:H18" si="0">G12*F12</f>
        <v>126377.16799999999</v>
      </c>
      <c r="I12" s="6">
        <v>4009.19</v>
      </c>
      <c r="J12" s="6">
        <v>483.06</v>
      </c>
      <c r="K12" s="6">
        <v>0</v>
      </c>
      <c r="L12" s="6">
        <v>4.7</v>
      </c>
      <c r="M12" s="9">
        <v>10</v>
      </c>
    </row>
    <row r="13" spans="2:13" x14ac:dyDescent="0.35">
      <c r="C13" s="8" t="s">
        <v>11</v>
      </c>
      <c r="F13" s="6">
        <v>537</v>
      </c>
      <c r="G13" s="6">
        <v>177.2</v>
      </c>
      <c r="H13" s="6">
        <f t="shared" si="0"/>
        <v>95156.4</v>
      </c>
      <c r="I13" s="6">
        <v>950.37</v>
      </c>
      <c r="J13" s="6">
        <v>578.01</v>
      </c>
      <c r="K13" s="6">
        <v>409.6</v>
      </c>
      <c r="L13" s="6">
        <v>0</v>
      </c>
      <c r="M13" s="9">
        <v>5.25</v>
      </c>
    </row>
    <row r="14" spans="2:13" x14ac:dyDescent="0.35">
      <c r="C14" s="8" t="s">
        <v>12</v>
      </c>
      <c r="F14" s="6">
        <v>2350.8000000000002</v>
      </c>
      <c r="G14" s="6">
        <v>27.2</v>
      </c>
      <c r="H14" s="6">
        <f t="shared" si="0"/>
        <v>63941.760000000002</v>
      </c>
      <c r="I14" s="6">
        <v>60.84</v>
      </c>
      <c r="J14" s="6">
        <v>1095.1300000000001</v>
      </c>
      <c r="K14" s="6">
        <v>0</v>
      </c>
      <c r="L14" s="6">
        <v>0</v>
      </c>
      <c r="M14" s="9">
        <v>27</v>
      </c>
    </row>
    <row r="15" spans="2:13" x14ac:dyDescent="0.35">
      <c r="C15" s="8" t="s">
        <v>13</v>
      </c>
      <c r="F15" s="6">
        <v>13331.6</v>
      </c>
      <c r="G15" s="6">
        <v>3.25</v>
      </c>
      <c r="H15" s="6">
        <f t="shared" si="0"/>
        <v>43327.700000000004</v>
      </c>
      <c r="I15" s="6">
        <v>2.3199999999999998</v>
      </c>
      <c r="J15" s="6">
        <v>480.7</v>
      </c>
      <c r="K15" s="6">
        <v>0</v>
      </c>
      <c r="L15" s="6">
        <v>0</v>
      </c>
      <c r="M15" s="9">
        <v>65</v>
      </c>
    </row>
    <row r="16" spans="2:13" x14ac:dyDescent="0.35">
      <c r="C16" s="8" t="s">
        <v>14</v>
      </c>
      <c r="F16" s="6">
        <v>10004.1</v>
      </c>
      <c r="G16" s="6">
        <v>3.26</v>
      </c>
      <c r="H16" s="6">
        <f t="shared" si="0"/>
        <v>32613.365999999998</v>
      </c>
      <c r="I16" s="6">
        <v>0.05</v>
      </c>
      <c r="J16" s="6">
        <v>419.14</v>
      </c>
      <c r="K16" s="6">
        <v>0</v>
      </c>
      <c r="L16" s="6">
        <v>0</v>
      </c>
      <c r="M16" s="9">
        <v>47</v>
      </c>
    </row>
    <row r="17" spans="3:13" x14ac:dyDescent="0.35">
      <c r="C17" s="8" t="s">
        <v>15</v>
      </c>
      <c r="F17" s="6">
        <v>587.20000000000005</v>
      </c>
      <c r="G17" s="6">
        <v>43.65</v>
      </c>
      <c r="H17" s="6">
        <f t="shared" si="0"/>
        <v>25631.280000000002</v>
      </c>
      <c r="I17" s="6">
        <v>89.97</v>
      </c>
      <c r="J17" s="6">
        <v>272.89999999999998</v>
      </c>
      <c r="K17" s="6">
        <v>-1.4</v>
      </c>
      <c r="L17" s="6">
        <v>0</v>
      </c>
      <c r="M17" s="9">
        <v>2</v>
      </c>
    </row>
    <row r="18" spans="3:13" ht="28" thickBot="1" x14ac:dyDescent="0.4">
      <c r="C18" s="10" t="s">
        <v>16</v>
      </c>
      <c r="D18" s="11"/>
      <c r="E18" s="11"/>
      <c r="F18" s="12">
        <v>360</v>
      </c>
      <c r="G18" s="12">
        <v>32.42</v>
      </c>
      <c r="H18" s="12">
        <f t="shared" si="0"/>
        <v>11671.2</v>
      </c>
      <c r="I18" s="12">
        <v>109.79</v>
      </c>
      <c r="J18" s="12">
        <v>294.99</v>
      </c>
      <c r="K18" s="12">
        <v>0</v>
      </c>
      <c r="L18" s="12">
        <v>0</v>
      </c>
      <c r="M18" s="13">
        <v>0</v>
      </c>
    </row>
    <row r="20" spans="3:13" ht="33" thickBot="1" x14ac:dyDescent="0.45">
      <c r="C20" s="15" t="s">
        <v>38</v>
      </c>
    </row>
    <row r="21" spans="3:13" ht="33" thickBot="1" x14ac:dyDescent="0.45">
      <c r="C21" s="27" t="s">
        <v>42</v>
      </c>
      <c r="D21" s="4"/>
      <c r="E21" s="4"/>
      <c r="F21" s="29" t="s">
        <v>25</v>
      </c>
      <c r="G21" s="29" t="s">
        <v>26</v>
      </c>
      <c r="H21" s="29" t="s">
        <v>39</v>
      </c>
      <c r="I21" s="30" t="s">
        <v>40</v>
      </c>
    </row>
    <row r="22" spans="3:13" x14ac:dyDescent="0.35">
      <c r="C22" s="8" t="s">
        <v>10</v>
      </c>
      <c r="F22" s="6">
        <f>'LTM Calc'!K12</f>
        <v>14426.390000000001</v>
      </c>
      <c r="G22" s="6">
        <f>'LTM Calc'!K24</f>
        <v>2985.1400000000003</v>
      </c>
      <c r="H22" s="6">
        <f>'LTM Calc'!K36</f>
        <v>3025.1600000000003</v>
      </c>
      <c r="I22" s="9">
        <f>'LTM Calc'!K47</f>
        <v>1854.06</v>
      </c>
    </row>
    <row r="23" spans="3:13" x14ac:dyDescent="0.35">
      <c r="C23" s="8" t="s">
        <v>11</v>
      </c>
      <c r="F23" s="6">
        <f>'LTM Calc'!K13</f>
        <v>12459.48</v>
      </c>
      <c r="G23" s="6">
        <f>'LTM Calc'!K25</f>
        <v>2328.9300000000003</v>
      </c>
      <c r="H23" s="6">
        <f>'LTM Calc'!K37</f>
        <v>2434.21</v>
      </c>
      <c r="I23" s="9">
        <f>'LTM Calc'!K48</f>
        <v>1754.3600000000001</v>
      </c>
    </row>
    <row r="24" spans="3:13" x14ac:dyDescent="0.35">
      <c r="C24" s="8" t="s">
        <v>12</v>
      </c>
      <c r="F24" s="6">
        <f>'LTM Calc'!K14</f>
        <v>5617.78</v>
      </c>
      <c r="G24" s="6">
        <f>'LTM Calc'!K26</f>
        <v>1902.2900000000002</v>
      </c>
      <c r="H24" s="6">
        <f>'LTM Calc'!K38</f>
        <v>1876.54</v>
      </c>
      <c r="I24" s="9">
        <f>'LTM Calc'!K49</f>
        <v>1393.4499999999998</v>
      </c>
    </row>
    <row r="25" spans="3:13" x14ac:dyDescent="0.35">
      <c r="C25" s="8" t="s">
        <v>13</v>
      </c>
      <c r="F25" s="6">
        <f>'LTM Calc'!K15</f>
        <v>3923.1800000000003</v>
      </c>
      <c r="G25" s="6">
        <f>'LTM Calc'!K27</f>
        <v>1019.12</v>
      </c>
      <c r="H25" s="6">
        <f>'LTM Calc'!K39</f>
        <v>1029.21</v>
      </c>
      <c r="I25" s="9">
        <f>'LTM Calc'!K50</f>
        <v>747.59000000000015</v>
      </c>
    </row>
    <row r="26" spans="3:13" x14ac:dyDescent="0.35">
      <c r="C26" s="8" t="s">
        <v>14</v>
      </c>
      <c r="F26" s="6">
        <f>'LTM Calc'!K16</f>
        <v>2538.4400000000005</v>
      </c>
      <c r="G26" s="6">
        <f>'LTM Calc'!K28</f>
        <v>635.05000000000007</v>
      </c>
      <c r="H26" s="6">
        <f>'LTM Calc'!K40</f>
        <v>601.59</v>
      </c>
      <c r="I26" s="9">
        <f>'LTM Calc'!K51</f>
        <v>447.38</v>
      </c>
    </row>
    <row r="27" spans="3:13" x14ac:dyDescent="0.35">
      <c r="C27" s="8" t="s">
        <v>15</v>
      </c>
      <c r="F27" s="6">
        <f>'LTM Calc'!K17</f>
        <v>3576.11</v>
      </c>
      <c r="G27" s="6">
        <f>'LTM Calc'!K29</f>
        <v>1029.2</v>
      </c>
      <c r="H27" s="6">
        <f>'LTM Calc'!K41</f>
        <v>873.58999999999992</v>
      </c>
      <c r="I27" s="9">
        <f>'LTM Calc'!K52</f>
        <v>816.41</v>
      </c>
    </row>
    <row r="28" spans="3:13" ht="28" thickBot="1" x14ac:dyDescent="0.4">
      <c r="C28" s="10" t="s">
        <v>16</v>
      </c>
      <c r="D28" s="11"/>
      <c r="E28" s="11"/>
      <c r="F28" s="12">
        <f>'LTM Calc'!K18</f>
        <v>2293.46</v>
      </c>
      <c r="G28" s="12">
        <f>'LTM Calc'!K30</f>
        <v>52.820000000000007</v>
      </c>
      <c r="H28" s="12">
        <f>'LTM Calc'!K42</f>
        <v>97.52000000000001</v>
      </c>
      <c r="I28" s="13">
        <f>'LTM Calc'!K53</f>
        <v>64.70999999999998</v>
      </c>
    </row>
    <row r="30" spans="3:13" ht="33" thickBot="1" x14ac:dyDescent="0.45">
      <c r="C30" s="15" t="s">
        <v>41</v>
      </c>
    </row>
    <row r="31" spans="3:13" ht="33" thickBot="1" x14ac:dyDescent="0.45">
      <c r="C31" s="27" t="s">
        <v>42</v>
      </c>
      <c r="D31" s="4"/>
      <c r="E31" s="4"/>
      <c r="F31" s="25" t="s">
        <v>19</v>
      </c>
      <c r="G31" s="25" t="s">
        <v>20</v>
      </c>
      <c r="H31" s="25" t="s">
        <v>22</v>
      </c>
      <c r="I31" s="25" t="s">
        <v>21</v>
      </c>
      <c r="J31" s="28" t="s">
        <v>43</v>
      </c>
    </row>
    <row r="32" spans="3:13" x14ac:dyDescent="0.35">
      <c r="C32" s="8" t="s">
        <v>10</v>
      </c>
      <c r="F32" s="6">
        <f t="shared" ref="F32:F38" si="1">H12</f>
        <v>126377.16799999999</v>
      </c>
      <c r="G32" s="6">
        <v>4009.19</v>
      </c>
      <c r="H32" s="6">
        <v>0</v>
      </c>
      <c r="I32" s="6">
        <v>483.06</v>
      </c>
      <c r="J32" s="9">
        <f>F32+G32+H32-I32</f>
        <v>129903.298</v>
      </c>
    </row>
    <row r="33" spans="3:13" x14ac:dyDescent="0.35">
      <c r="C33" s="8" t="s">
        <v>11</v>
      </c>
      <c r="F33" s="6">
        <f t="shared" si="1"/>
        <v>95156.4</v>
      </c>
      <c r="G33" s="6">
        <v>950.37</v>
      </c>
      <c r="H33" s="6">
        <v>409.6</v>
      </c>
      <c r="I33" s="6">
        <v>578.01</v>
      </c>
      <c r="J33" s="9">
        <f t="shared" ref="J33:J38" si="2">F33+G33+H33-I33</f>
        <v>95938.36</v>
      </c>
    </row>
    <row r="34" spans="3:13" x14ac:dyDescent="0.35">
      <c r="C34" s="8" t="s">
        <v>12</v>
      </c>
      <c r="F34" s="6">
        <f t="shared" si="1"/>
        <v>63941.760000000002</v>
      </c>
      <c r="G34" s="6">
        <v>60.84</v>
      </c>
      <c r="H34" s="6">
        <v>0</v>
      </c>
      <c r="I34" s="6">
        <v>1095.1300000000001</v>
      </c>
      <c r="J34" s="9">
        <f t="shared" si="2"/>
        <v>62907.47</v>
      </c>
    </row>
    <row r="35" spans="3:13" x14ac:dyDescent="0.35">
      <c r="C35" s="8" t="s">
        <v>13</v>
      </c>
      <c r="F35" s="6">
        <f t="shared" si="1"/>
        <v>43327.700000000004</v>
      </c>
      <c r="G35" s="6">
        <v>2.3199999999999998</v>
      </c>
      <c r="H35" s="6">
        <v>0</v>
      </c>
      <c r="I35" s="6">
        <v>480.7</v>
      </c>
      <c r="J35" s="9">
        <f t="shared" si="2"/>
        <v>42849.320000000007</v>
      </c>
    </row>
    <row r="36" spans="3:13" x14ac:dyDescent="0.35">
      <c r="C36" s="8" t="s">
        <v>14</v>
      </c>
      <c r="F36" s="6">
        <f t="shared" si="1"/>
        <v>32613.365999999998</v>
      </c>
      <c r="G36" s="6">
        <v>0.05</v>
      </c>
      <c r="H36" s="6">
        <v>0</v>
      </c>
      <c r="I36" s="6">
        <v>419.14</v>
      </c>
      <c r="J36" s="9">
        <f t="shared" si="2"/>
        <v>32194.275999999998</v>
      </c>
    </row>
    <row r="37" spans="3:13" x14ac:dyDescent="0.35">
      <c r="C37" s="8" t="s">
        <v>15</v>
      </c>
      <c r="F37" s="6">
        <f t="shared" si="1"/>
        <v>25631.280000000002</v>
      </c>
      <c r="G37" s="6">
        <v>89.97</v>
      </c>
      <c r="H37" s="6">
        <v>-1.4</v>
      </c>
      <c r="I37" s="6">
        <v>272.89999999999998</v>
      </c>
      <c r="J37" s="9">
        <f t="shared" si="2"/>
        <v>25446.95</v>
      </c>
    </row>
    <row r="38" spans="3:13" ht="28" thickBot="1" x14ac:dyDescent="0.4">
      <c r="C38" s="10" t="s">
        <v>16</v>
      </c>
      <c r="D38" s="11"/>
      <c r="E38" s="11"/>
      <c r="F38" s="12">
        <f t="shared" si="1"/>
        <v>11671.2</v>
      </c>
      <c r="G38" s="12">
        <v>109.79</v>
      </c>
      <c r="H38" s="12">
        <v>0</v>
      </c>
      <c r="I38" s="12">
        <v>294.99</v>
      </c>
      <c r="J38" s="13">
        <f t="shared" si="2"/>
        <v>11486.000000000002</v>
      </c>
    </row>
    <row r="41" spans="3:13" ht="33" thickBot="1" x14ac:dyDescent="0.45">
      <c r="C41" s="15" t="s">
        <v>44</v>
      </c>
    </row>
    <row r="42" spans="3:13" ht="33" thickBot="1" x14ac:dyDescent="0.45">
      <c r="C42" s="27" t="s">
        <v>42</v>
      </c>
      <c r="D42" s="4"/>
      <c r="E42" s="4"/>
      <c r="F42" s="25" t="str">
        <f t="shared" ref="F42:F49" si="3">J31</f>
        <v>EV</v>
      </c>
      <c r="G42" s="25" t="str">
        <f t="shared" ref="G42:G49" si="4">G21</f>
        <v>EBITDA</v>
      </c>
      <c r="H42" s="26" t="s">
        <v>45</v>
      </c>
      <c r="J42" s="31" t="s">
        <v>46</v>
      </c>
      <c r="K42" s="25" t="str">
        <f t="shared" ref="K42:K49" si="5">F31</f>
        <v xml:space="preserve">Market Cap </v>
      </c>
      <c r="L42" s="24" t="s">
        <v>47</v>
      </c>
      <c r="M42" s="5"/>
    </row>
    <row r="43" spans="3:13" x14ac:dyDescent="0.35">
      <c r="C43" s="8" t="s">
        <v>10</v>
      </c>
      <c r="F43" s="1">
        <f t="shared" si="3"/>
        <v>129903.298</v>
      </c>
      <c r="G43" s="6">
        <f t="shared" si="4"/>
        <v>2985.1400000000003</v>
      </c>
      <c r="H43" s="9">
        <f t="shared" ref="H43:H49" si="6">F43/G43</f>
        <v>43.51665181532524</v>
      </c>
      <c r="I43" s="6">
        <f>MIN(H43:H49)</f>
        <v>24.724980567431015</v>
      </c>
      <c r="J43" s="32">
        <f t="shared" ref="J43:J49" si="7">I22</f>
        <v>1854.06</v>
      </c>
      <c r="K43" s="6">
        <f t="shared" si="5"/>
        <v>126377.16799999999</v>
      </c>
      <c r="L43" s="34">
        <f>K43/J43</f>
        <v>68.16239388153565</v>
      </c>
      <c r="M43" s="9">
        <f>MIN(L43:L49)</f>
        <v>31.39510785022232</v>
      </c>
    </row>
    <row r="44" spans="3:13" x14ac:dyDescent="0.35">
      <c r="C44" s="8" t="s">
        <v>11</v>
      </c>
      <c r="F44" s="1">
        <f t="shared" si="3"/>
        <v>95938.36</v>
      </c>
      <c r="G44" s="6">
        <f t="shared" si="4"/>
        <v>2328.9300000000003</v>
      </c>
      <c r="H44" s="9">
        <f t="shared" si="6"/>
        <v>41.19417930122416</v>
      </c>
      <c r="I44" s="1">
        <f>_xlfn.PERCENTILE.INC(H43:H49,25%)</f>
        <v>37.131758391971175</v>
      </c>
      <c r="J44" s="32">
        <f t="shared" si="7"/>
        <v>1754.3600000000001</v>
      </c>
      <c r="K44" s="6">
        <f t="shared" si="5"/>
        <v>95156.4</v>
      </c>
      <c r="L44" s="34">
        <f t="shared" ref="L44:L49" si="8">K44/J44</f>
        <v>54.23995075127111</v>
      </c>
      <c r="M44" s="19">
        <f>_xlfn.PERCENTILE.INC(L43:L49,25%)</f>
        <v>50.063661909059789</v>
      </c>
    </row>
    <row r="45" spans="3:13" x14ac:dyDescent="0.35">
      <c r="C45" s="8" t="s">
        <v>12</v>
      </c>
      <c r="F45" s="1">
        <f t="shared" si="3"/>
        <v>62907.47</v>
      </c>
      <c r="G45" s="6">
        <f t="shared" si="4"/>
        <v>1902.2900000000002</v>
      </c>
      <c r="H45" s="9">
        <f t="shared" si="6"/>
        <v>33.069337482718197</v>
      </c>
      <c r="I45" s="37">
        <f>MEDIAN(H43:H49)</f>
        <v>42.045411727765135</v>
      </c>
      <c r="J45" s="32">
        <f t="shared" si="7"/>
        <v>1393.4499999999998</v>
      </c>
      <c r="K45" s="6">
        <f t="shared" si="5"/>
        <v>63941.760000000002</v>
      </c>
      <c r="L45" s="34">
        <f t="shared" si="8"/>
        <v>45.887373066848475</v>
      </c>
      <c r="M45" s="9">
        <f>MEDIAN(L43:L49)</f>
        <v>57.956500220709209</v>
      </c>
    </row>
    <row r="46" spans="3:13" x14ac:dyDescent="0.35">
      <c r="C46" s="8" t="s">
        <v>13</v>
      </c>
      <c r="F46" s="1">
        <f t="shared" si="3"/>
        <v>42849.320000000007</v>
      </c>
      <c r="G46" s="6">
        <f t="shared" si="4"/>
        <v>1019.12</v>
      </c>
      <c r="H46" s="9">
        <f t="shared" si="6"/>
        <v>42.045411727765135</v>
      </c>
      <c r="I46" s="1">
        <f>_xlfn.PERCENTILE.INC(H43:H49,75%)</f>
        <v>47.106153637762603</v>
      </c>
      <c r="J46" s="32">
        <f t="shared" si="7"/>
        <v>747.59000000000015</v>
      </c>
      <c r="K46" s="6">
        <f t="shared" si="5"/>
        <v>43327.700000000004</v>
      </c>
      <c r="L46" s="34">
        <f t="shared" si="8"/>
        <v>57.956500220709209</v>
      </c>
      <c r="M46" s="19">
        <f>_xlfn.PERCENTILE.INC(L43:L49,75%)</f>
        <v>70.530486135635726</v>
      </c>
    </row>
    <row r="47" spans="3:13" x14ac:dyDescent="0.35">
      <c r="C47" s="8" t="s">
        <v>14</v>
      </c>
      <c r="F47" s="1">
        <f t="shared" si="3"/>
        <v>32194.275999999998</v>
      </c>
      <c r="G47" s="6">
        <f t="shared" si="4"/>
        <v>635.05000000000007</v>
      </c>
      <c r="H47" s="9">
        <f t="shared" si="6"/>
        <v>50.695655460199973</v>
      </c>
      <c r="I47" s="6">
        <f>MAX(H43:H49)</f>
        <v>217.45550927678909</v>
      </c>
      <c r="J47" s="32">
        <f t="shared" si="7"/>
        <v>447.38</v>
      </c>
      <c r="K47" s="6">
        <f t="shared" si="5"/>
        <v>32613.365999999998</v>
      </c>
      <c r="L47" s="34">
        <f t="shared" si="8"/>
        <v>72.898578389735789</v>
      </c>
      <c r="M47" s="9">
        <f>MAX(L43:L49)</f>
        <v>180.36161335187768</v>
      </c>
    </row>
    <row r="48" spans="3:13" x14ac:dyDescent="0.35">
      <c r="C48" s="8" t="s">
        <v>15</v>
      </c>
      <c r="F48" s="1">
        <f t="shared" si="3"/>
        <v>25446.95</v>
      </c>
      <c r="G48" s="6">
        <f>G27</f>
        <v>1029.2</v>
      </c>
      <c r="H48" s="9">
        <f t="shared" si="6"/>
        <v>24.724980567431015</v>
      </c>
      <c r="J48" s="32">
        <f t="shared" si="7"/>
        <v>816.41</v>
      </c>
      <c r="K48" s="6">
        <f t="shared" si="5"/>
        <v>25631.280000000002</v>
      </c>
      <c r="L48" s="34">
        <f t="shared" si="8"/>
        <v>31.39510785022232</v>
      </c>
      <c r="M48" s="19"/>
    </row>
    <row r="49" spans="3:13" ht="28" thickBot="1" x14ac:dyDescent="0.4">
      <c r="C49" s="10" t="s">
        <v>16</v>
      </c>
      <c r="D49" s="11"/>
      <c r="E49" s="11"/>
      <c r="F49" s="11">
        <f t="shared" si="3"/>
        <v>11486.000000000002</v>
      </c>
      <c r="G49" s="12">
        <f t="shared" si="4"/>
        <v>52.820000000000007</v>
      </c>
      <c r="H49" s="13">
        <f t="shared" si="6"/>
        <v>217.45550927678909</v>
      </c>
      <c r="J49" s="33">
        <f t="shared" si="7"/>
        <v>64.70999999999998</v>
      </c>
      <c r="K49" s="12">
        <f t="shared" si="5"/>
        <v>11671.2</v>
      </c>
      <c r="L49" s="35">
        <f t="shared" si="8"/>
        <v>180.36161335187768</v>
      </c>
      <c r="M49" s="21"/>
    </row>
    <row r="51" spans="3:13" ht="28" thickBot="1" x14ac:dyDescent="0.4"/>
    <row r="52" spans="3:13" ht="33" thickBot="1" x14ac:dyDescent="0.45">
      <c r="C52" s="27" t="s">
        <v>42</v>
      </c>
      <c r="D52" s="4"/>
      <c r="E52" s="4"/>
      <c r="F52" s="25" t="s">
        <v>26</v>
      </c>
      <c r="G52" s="25" t="s">
        <v>44</v>
      </c>
      <c r="H52" s="26" t="s">
        <v>48</v>
      </c>
    </row>
    <row r="53" spans="3:13" x14ac:dyDescent="0.35">
      <c r="C53" s="8" t="s">
        <v>10</v>
      </c>
      <c r="F53" s="6">
        <f t="shared" ref="F53:F59" si="9">G22</f>
        <v>2985.1400000000003</v>
      </c>
      <c r="G53" s="37">
        <f>$I$45</f>
        <v>42.045411727765135</v>
      </c>
      <c r="H53" s="36">
        <f>F53*G53</f>
        <v>125511.44036502083</v>
      </c>
    </row>
    <row r="54" spans="3:13" x14ac:dyDescent="0.35">
      <c r="C54" s="8" t="s">
        <v>11</v>
      </c>
      <c r="F54" s="6">
        <f t="shared" si="9"/>
        <v>2328.9300000000003</v>
      </c>
      <c r="G54" s="37">
        <f t="shared" ref="G54:G59" si="10">$I$45</f>
        <v>42.045411727765135</v>
      </c>
      <c r="H54" s="36">
        <f t="shared" ref="H54:H59" si="11">F54*G54</f>
        <v>97920.820735144065</v>
      </c>
    </row>
    <row r="55" spans="3:13" x14ac:dyDescent="0.35">
      <c r="C55" s="8" t="s">
        <v>12</v>
      </c>
      <c r="F55" s="6">
        <f t="shared" si="9"/>
        <v>1902.2900000000002</v>
      </c>
      <c r="G55" s="37">
        <f t="shared" si="10"/>
        <v>42.045411727765135</v>
      </c>
      <c r="H55" s="36">
        <f t="shared" si="11"/>
        <v>79982.566275610341</v>
      </c>
    </row>
    <row r="56" spans="3:13" x14ac:dyDescent="0.35">
      <c r="C56" s="8" t="s">
        <v>13</v>
      </c>
      <c r="F56" s="6">
        <f t="shared" si="9"/>
        <v>1019.12</v>
      </c>
      <c r="G56" s="37">
        <f t="shared" si="10"/>
        <v>42.045411727765135</v>
      </c>
      <c r="H56" s="36">
        <f t="shared" si="11"/>
        <v>42849.320000000007</v>
      </c>
    </row>
    <row r="57" spans="3:13" x14ac:dyDescent="0.35">
      <c r="C57" s="8" t="s">
        <v>14</v>
      </c>
      <c r="F57" s="6">
        <f t="shared" si="9"/>
        <v>635.05000000000007</v>
      </c>
      <c r="G57" s="37">
        <f t="shared" si="10"/>
        <v>42.045411727765135</v>
      </c>
      <c r="H57" s="36">
        <f t="shared" si="11"/>
        <v>26700.93871771725</v>
      </c>
    </row>
    <row r="58" spans="3:13" x14ac:dyDescent="0.35">
      <c r="C58" s="8" t="s">
        <v>15</v>
      </c>
      <c r="F58" s="6">
        <f t="shared" si="9"/>
        <v>1029.2</v>
      </c>
      <c r="G58" s="37">
        <f t="shared" si="10"/>
        <v>42.045411727765135</v>
      </c>
      <c r="H58" s="36">
        <f t="shared" si="11"/>
        <v>43273.137750215879</v>
      </c>
    </row>
    <row r="59" spans="3:13" ht="28" thickBot="1" x14ac:dyDescent="0.4">
      <c r="C59" s="10" t="s">
        <v>16</v>
      </c>
      <c r="F59" s="6">
        <f t="shared" si="9"/>
        <v>52.820000000000007</v>
      </c>
      <c r="G59" s="37">
        <f t="shared" si="10"/>
        <v>42.045411727765135</v>
      </c>
      <c r="H59" s="36">
        <f t="shared" si="11"/>
        <v>2220.8386474605545</v>
      </c>
    </row>
    <row r="60" spans="3:13" x14ac:dyDescent="0.35">
      <c r="G60" s="6"/>
    </row>
    <row r="61" spans="3:13" x14ac:dyDescent="0.35">
      <c r="G61" s="6"/>
    </row>
    <row r="62" spans="3:13" x14ac:dyDescent="0.35">
      <c r="G62" s="6"/>
    </row>
  </sheetData>
  <mergeCells count="1">
    <mergeCell ref="C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ABA0A-2A97-E643-9525-AA228C44A56B}">
  <dimension ref="B1:M53"/>
  <sheetViews>
    <sheetView zoomScale="75" workbookViewId="0">
      <selection activeCell="O26" sqref="O26"/>
    </sheetView>
  </sheetViews>
  <sheetFormatPr baseColWidth="10" defaultRowHeight="27" x14ac:dyDescent="0.35"/>
  <cols>
    <col min="1" max="1" width="2.1640625" style="1" customWidth="1"/>
    <col min="2" max="2" width="18" style="1" bestFit="1" customWidth="1"/>
    <col min="3" max="3" width="27" style="1" bestFit="1" customWidth="1"/>
    <col min="4" max="4" width="10.83203125" style="1"/>
    <col min="5" max="5" width="21.1640625" style="1" bestFit="1" customWidth="1"/>
    <col min="6" max="6" width="18.5" style="1" bestFit="1" customWidth="1"/>
    <col min="7" max="7" width="21.1640625" style="1" bestFit="1" customWidth="1"/>
    <col min="8" max="8" width="23.33203125" style="1" bestFit="1" customWidth="1"/>
    <col min="9" max="9" width="38.83203125" style="1" customWidth="1"/>
    <col min="10" max="10" width="10.83203125" style="1"/>
    <col min="11" max="11" width="27.33203125" style="1" bestFit="1" customWidth="1"/>
    <col min="12" max="15" width="10.83203125" style="1"/>
    <col min="16" max="16" width="21.1640625" style="1" bestFit="1" customWidth="1"/>
    <col min="17" max="17" width="18.6640625" style="1" bestFit="1" customWidth="1"/>
    <col min="18" max="18" width="33.33203125" style="1" bestFit="1" customWidth="1"/>
    <col min="19" max="16384" width="10.83203125" style="1"/>
  </cols>
  <sheetData>
    <row r="1" spans="2:13" ht="47" x14ac:dyDescent="0.55000000000000004">
      <c r="D1" s="16" t="s">
        <v>32</v>
      </c>
    </row>
    <row r="3" spans="2:13" x14ac:dyDescent="0.35">
      <c r="B3" s="40"/>
      <c r="C3" s="40"/>
      <c r="D3" s="40"/>
      <c r="E3" s="14"/>
      <c r="F3" s="14"/>
      <c r="G3" s="14"/>
    </row>
    <row r="4" spans="2:13" x14ac:dyDescent="0.35">
      <c r="C4" s="1" t="s">
        <v>25</v>
      </c>
    </row>
    <row r="5" spans="2:13" x14ac:dyDescent="0.35">
      <c r="C5" s="1" t="s">
        <v>26</v>
      </c>
    </row>
    <row r="6" spans="2:13" x14ac:dyDescent="0.35">
      <c r="C6" s="1" t="s">
        <v>27</v>
      </c>
    </row>
    <row r="7" spans="2:13" x14ac:dyDescent="0.35">
      <c r="C7" s="1" t="s">
        <v>28</v>
      </c>
    </row>
    <row r="9" spans="2:13" x14ac:dyDescent="0.35">
      <c r="B9" s="40"/>
      <c r="C9" s="40"/>
      <c r="D9" s="40"/>
      <c r="E9" s="14"/>
      <c r="F9" s="14"/>
      <c r="G9" s="14"/>
    </row>
    <row r="10" spans="2:13" ht="40" thickBot="1" x14ac:dyDescent="0.4">
      <c r="H10" s="17" t="s">
        <v>34</v>
      </c>
    </row>
    <row r="11" spans="2:13" ht="28" thickBot="1" x14ac:dyDescent="0.4">
      <c r="C11" s="22"/>
      <c r="D11" s="4"/>
      <c r="E11" s="4"/>
      <c r="F11" s="4"/>
      <c r="G11" s="7" t="s">
        <v>29</v>
      </c>
      <c r="H11" s="7" t="s">
        <v>30</v>
      </c>
      <c r="I11" s="7" t="s">
        <v>31</v>
      </c>
      <c r="J11" s="4"/>
      <c r="K11" s="23" t="s">
        <v>33</v>
      </c>
      <c r="L11" s="4"/>
      <c r="M11" s="5"/>
    </row>
    <row r="12" spans="2:13" x14ac:dyDescent="0.35">
      <c r="C12" s="18" t="s">
        <v>10</v>
      </c>
      <c r="G12" s="1">
        <v>14096.11</v>
      </c>
      <c r="H12" s="1">
        <v>3661.86</v>
      </c>
      <c r="I12" s="1">
        <v>3331.58</v>
      </c>
      <c r="K12" s="1">
        <f>G12+H12-I12</f>
        <v>14426.390000000001</v>
      </c>
      <c r="M12" s="19"/>
    </row>
    <row r="13" spans="2:13" x14ac:dyDescent="0.35">
      <c r="C13" s="18" t="s">
        <v>11</v>
      </c>
      <c r="G13" s="1">
        <v>12404.01</v>
      </c>
      <c r="H13" s="1">
        <v>3404.58</v>
      </c>
      <c r="I13" s="1">
        <v>3349.11</v>
      </c>
      <c r="K13" s="1">
        <f t="shared" ref="K13:K18" si="0">G13+H13-I13</f>
        <v>12459.48</v>
      </c>
      <c r="M13" s="19"/>
    </row>
    <row r="14" spans="2:13" x14ac:dyDescent="0.35">
      <c r="C14" s="18" t="s">
        <v>12</v>
      </c>
      <c r="G14" s="1">
        <v>5680.43</v>
      </c>
      <c r="H14" s="1">
        <v>1434.06</v>
      </c>
      <c r="I14" s="1">
        <v>1496.71</v>
      </c>
      <c r="K14" s="1">
        <f t="shared" si="0"/>
        <v>5617.78</v>
      </c>
      <c r="M14" s="19"/>
    </row>
    <row r="15" spans="2:13" x14ac:dyDescent="0.35">
      <c r="C15" s="18" t="s">
        <v>13</v>
      </c>
      <c r="G15" s="1">
        <v>3917.9</v>
      </c>
      <c r="H15" s="1">
        <v>937.03</v>
      </c>
      <c r="I15" s="1">
        <v>931.75</v>
      </c>
      <c r="K15" s="1">
        <f t="shared" si="0"/>
        <v>3923.1800000000003</v>
      </c>
      <c r="M15" s="19"/>
    </row>
    <row r="16" spans="2:13" x14ac:dyDescent="0.35">
      <c r="C16" s="18" t="s">
        <v>14</v>
      </c>
      <c r="G16" s="1">
        <v>2477.0500000000002</v>
      </c>
      <c r="H16" s="1">
        <v>706.72</v>
      </c>
      <c r="I16" s="1">
        <v>645.33000000000004</v>
      </c>
      <c r="K16" s="1">
        <f t="shared" si="0"/>
        <v>2538.4400000000005</v>
      </c>
      <c r="M16" s="19"/>
    </row>
    <row r="17" spans="2:13" x14ac:dyDescent="0.35">
      <c r="C17" s="18" t="s">
        <v>15</v>
      </c>
      <c r="G17" s="1">
        <v>3578.09</v>
      </c>
      <c r="H17" s="1">
        <v>904.09</v>
      </c>
      <c r="I17" s="1">
        <v>906.07</v>
      </c>
      <c r="K17" s="1">
        <f t="shared" si="0"/>
        <v>3576.11</v>
      </c>
      <c r="M17" s="19"/>
    </row>
    <row r="18" spans="2:13" ht="28" thickBot="1" x14ac:dyDescent="0.4">
      <c r="C18" s="20" t="s">
        <v>16</v>
      </c>
      <c r="D18" s="11"/>
      <c r="E18" s="11"/>
      <c r="F18" s="11"/>
      <c r="G18" s="11">
        <v>1764.39</v>
      </c>
      <c r="H18" s="11">
        <v>583.63</v>
      </c>
      <c r="I18" s="11">
        <v>54.56</v>
      </c>
      <c r="J18" s="11"/>
      <c r="K18" s="11">
        <f t="shared" si="0"/>
        <v>2293.46</v>
      </c>
      <c r="L18" s="11"/>
      <c r="M18" s="21"/>
    </row>
    <row r="22" spans="2:13" ht="40" thickBot="1" x14ac:dyDescent="0.4">
      <c r="H22" s="17" t="s">
        <v>35</v>
      </c>
    </row>
    <row r="23" spans="2:13" ht="28" thickBot="1" x14ac:dyDescent="0.4">
      <c r="C23" s="22"/>
      <c r="D23" s="4"/>
      <c r="E23" s="4"/>
      <c r="F23" s="4"/>
      <c r="G23" s="7" t="s">
        <v>29</v>
      </c>
      <c r="H23" s="7" t="s">
        <v>30</v>
      </c>
      <c r="I23" s="7" t="s">
        <v>31</v>
      </c>
      <c r="J23" s="4"/>
      <c r="K23" s="23" t="s">
        <v>33</v>
      </c>
      <c r="L23" s="4"/>
      <c r="M23" s="5"/>
    </row>
    <row r="24" spans="2:13" x14ac:dyDescent="0.35">
      <c r="B24" s="2"/>
      <c r="C24" s="18" t="s">
        <v>10</v>
      </c>
      <c r="G24" s="1">
        <v>3015.01</v>
      </c>
      <c r="H24" s="1">
        <v>694.56</v>
      </c>
      <c r="I24" s="1">
        <v>724.43</v>
      </c>
      <c r="K24" s="1">
        <f>G24+H24-I24</f>
        <v>2985.1400000000003</v>
      </c>
      <c r="M24" s="19"/>
    </row>
    <row r="25" spans="2:13" x14ac:dyDescent="0.35">
      <c r="C25" s="18" t="s">
        <v>11</v>
      </c>
      <c r="G25" s="1">
        <v>2316.34</v>
      </c>
      <c r="H25" s="1">
        <v>667.42</v>
      </c>
      <c r="I25" s="1">
        <v>654.83000000000004</v>
      </c>
      <c r="K25" s="1">
        <f t="shared" ref="K25:K30" si="1">G25+H25-I25</f>
        <v>2328.9300000000003</v>
      </c>
      <c r="M25" s="19"/>
    </row>
    <row r="26" spans="2:13" x14ac:dyDescent="0.35">
      <c r="C26" s="18" t="s">
        <v>12</v>
      </c>
      <c r="G26" s="1">
        <v>1958.06</v>
      </c>
      <c r="H26" s="1">
        <v>452.57</v>
      </c>
      <c r="I26" s="1">
        <v>508.34</v>
      </c>
      <c r="K26" s="1">
        <f t="shared" si="1"/>
        <v>1902.2900000000002</v>
      </c>
      <c r="M26" s="19"/>
    </row>
    <row r="27" spans="2:13" x14ac:dyDescent="0.35">
      <c r="C27" s="18" t="s">
        <v>13</v>
      </c>
      <c r="G27" s="1">
        <v>871.29</v>
      </c>
      <c r="H27" s="1">
        <v>266.17</v>
      </c>
      <c r="I27" s="1">
        <v>118.34</v>
      </c>
      <c r="K27" s="1">
        <f t="shared" si="1"/>
        <v>1019.12</v>
      </c>
      <c r="M27" s="19"/>
    </row>
    <row r="28" spans="2:13" x14ac:dyDescent="0.35">
      <c r="C28" s="18" t="s">
        <v>14</v>
      </c>
      <c r="G28" s="1">
        <v>600.32000000000005</v>
      </c>
      <c r="H28" s="1">
        <v>210.25</v>
      </c>
      <c r="I28" s="1">
        <v>175.52</v>
      </c>
      <c r="K28" s="1">
        <f t="shared" si="1"/>
        <v>635.05000000000007</v>
      </c>
      <c r="M28" s="19"/>
    </row>
    <row r="29" spans="2:13" x14ac:dyDescent="0.35">
      <c r="C29" s="18" t="s">
        <v>15</v>
      </c>
      <c r="G29" s="1">
        <v>1031.5</v>
      </c>
      <c r="H29" s="1">
        <v>212.11</v>
      </c>
      <c r="I29" s="1">
        <v>214.41</v>
      </c>
      <c r="K29" s="1">
        <f t="shared" si="1"/>
        <v>1029.2</v>
      </c>
      <c r="M29" s="19"/>
    </row>
    <row r="30" spans="2:13" ht="28" thickBot="1" x14ac:dyDescent="0.4">
      <c r="B30" s="2"/>
      <c r="C30" s="20" t="s">
        <v>16</v>
      </c>
      <c r="D30" s="11"/>
      <c r="E30" s="11"/>
      <c r="F30" s="11"/>
      <c r="G30" s="11">
        <v>53.82</v>
      </c>
      <c r="H30" s="11">
        <v>41.45</v>
      </c>
      <c r="I30" s="11">
        <v>42.45</v>
      </c>
      <c r="J30" s="11"/>
      <c r="K30" s="11">
        <f t="shared" si="1"/>
        <v>52.820000000000007</v>
      </c>
      <c r="L30" s="11"/>
      <c r="M30" s="21"/>
    </row>
    <row r="34" spans="3:13" ht="40" thickBot="1" x14ac:dyDescent="0.4">
      <c r="H34" s="17" t="s">
        <v>36</v>
      </c>
    </row>
    <row r="35" spans="3:13" ht="28" thickBot="1" x14ac:dyDescent="0.4">
      <c r="C35" s="22"/>
      <c r="D35" s="4"/>
      <c r="E35" s="4"/>
      <c r="F35" s="4"/>
      <c r="G35" s="7" t="s">
        <v>29</v>
      </c>
      <c r="H35" s="7" t="s">
        <v>30</v>
      </c>
      <c r="I35" s="7" t="s">
        <v>31</v>
      </c>
      <c r="J35" s="4"/>
      <c r="K35" s="23" t="s">
        <v>33</v>
      </c>
      <c r="L35" s="4"/>
      <c r="M35" s="5"/>
    </row>
    <row r="36" spans="3:13" x14ac:dyDescent="0.35">
      <c r="C36" s="18" t="s">
        <v>10</v>
      </c>
      <c r="G36" s="1">
        <v>3057.51</v>
      </c>
      <c r="H36" s="1">
        <v>719.73</v>
      </c>
      <c r="I36" s="1">
        <v>752.08</v>
      </c>
      <c r="K36" s="1">
        <f>G36+H36-I36</f>
        <v>3025.1600000000003</v>
      </c>
      <c r="M36" s="19"/>
    </row>
    <row r="37" spans="3:13" x14ac:dyDescent="0.35">
      <c r="C37" s="18" t="s">
        <v>11</v>
      </c>
      <c r="G37" s="1">
        <v>2412.0700000000002</v>
      </c>
      <c r="H37" s="1">
        <v>697.25</v>
      </c>
      <c r="I37" s="1">
        <v>675.11</v>
      </c>
      <c r="K37" s="1">
        <f t="shared" ref="K37:K42" si="2">G37+H37-I37</f>
        <v>2434.21</v>
      </c>
      <c r="M37" s="19"/>
    </row>
    <row r="38" spans="3:13" x14ac:dyDescent="0.35">
      <c r="C38" s="18" t="s">
        <v>12</v>
      </c>
      <c r="G38" s="1">
        <v>1933.8</v>
      </c>
      <c r="H38" s="1">
        <v>432.97</v>
      </c>
      <c r="I38" s="1">
        <v>490.23</v>
      </c>
      <c r="K38" s="1">
        <f t="shared" si="2"/>
        <v>1876.54</v>
      </c>
      <c r="M38" s="19"/>
    </row>
    <row r="39" spans="3:13" x14ac:dyDescent="0.35">
      <c r="C39" s="18" t="s">
        <v>13</v>
      </c>
      <c r="G39" s="1">
        <v>876.69</v>
      </c>
      <c r="H39" s="1">
        <v>264.77</v>
      </c>
      <c r="I39" s="1">
        <v>112.25</v>
      </c>
      <c r="K39" s="1">
        <f t="shared" si="2"/>
        <v>1029.21</v>
      </c>
      <c r="M39" s="19"/>
    </row>
    <row r="40" spans="3:13" x14ac:dyDescent="0.35">
      <c r="C40" s="18" t="s">
        <v>14</v>
      </c>
      <c r="G40" s="1">
        <v>564.02</v>
      </c>
      <c r="H40" s="1">
        <v>196.47</v>
      </c>
      <c r="I40" s="1">
        <v>158.9</v>
      </c>
      <c r="K40" s="1">
        <f t="shared" si="2"/>
        <v>601.59</v>
      </c>
      <c r="M40" s="19"/>
    </row>
    <row r="41" spans="3:13" x14ac:dyDescent="0.35">
      <c r="C41" s="18" t="s">
        <v>15</v>
      </c>
      <c r="G41" s="1">
        <v>864.83</v>
      </c>
      <c r="H41" s="1">
        <v>189.2</v>
      </c>
      <c r="I41" s="1">
        <v>180.44</v>
      </c>
      <c r="K41" s="1">
        <f t="shared" si="2"/>
        <v>873.58999999999992</v>
      </c>
      <c r="M41" s="19"/>
    </row>
    <row r="42" spans="3:13" ht="28" thickBot="1" x14ac:dyDescent="0.4">
      <c r="C42" s="20" t="s">
        <v>16</v>
      </c>
      <c r="D42" s="11"/>
      <c r="E42" s="11"/>
      <c r="F42" s="11"/>
      <c r="G42" s="11">
        <v>94.67</v>
      </c>
      <c r="H42" s="11">
        <v>56.51</v>
      </c>
      <c r="I42" s="11">
        <v>53.66</v>
      </c>
      <c r="J42" s="11"/>
      <c r="K42" s="11">
        <f t="shared" si="2"/>
        <v>97.52000000000001</v>
      </c>
      <c r="L42" s="11"/>
      <c r="M42" s="21"/>
    </row>
    <row r="45" spans="3:13" ht="40" thickBot="1" x14ac:dyDescent="0.4">
      <c r="H45" s="17" t="s">
        <v>37</v>
      </c>
    </row>
    <row r="46" spans="3:13" ht="28" thickBot="1" x14ac:dyDescent="0.4">
      <c r="C46" s="22"/>
      <c r="D46" s="4"/>
      <c r="E46" s="4"/>
      <c r="F46" s="4"/>
      <c r="G46" s="7" t="s">
        <v>29</v>
      </c>
      <c r="H46" s="7" t="s">
        <v>30</v>
      </c>
      <c r="I46" s="7" t="s">
        <v>31</v>
      </c>
      <c r="J46" s="4"/>
      <c r="K46" s="23" t="s">
        <v>33</v>
      </c>
      <c r="L46" s="4"/>
      <c r="M46" s="5"/>
    </row>
    <row r="47" spans="3:13" x14ac:dyDescent="0.35">
      <c r="C47" s="18" t="s">
        <v>10</v>
      </c>
      <c r="G47" s="1">
        <v>1852.3</v>
      </c>
      <c r="H47" s="1">
        <v>452.45</v>
      </c>
      <c r="I47" s="1">
        <v>450.69</v>
      </c>
      <c r="K47" s="1">
        <f>G47+H47-I47</f>
        <v>1854.06</v>
      </c>
      <c r="M47" s="19"/>
    </row>
    <row r="48" spans="3:13" x14ac:dyDescent="0.35">
      <c r="C48" s="18" t="s">
        <v>11</v>
      </c>
      <c r="G48" s="1">
        <v>1740.42</v>
      </c>
      <c r="H48" s="1">
        <v>508.29</v>
      </c>
      <c r="I48" s="1">
        <v>494.35</v>
      </c>
      <c r="K48" s="1">
        <f t="shared" ref="K48:K53" si="3">G48+H48-I48</f>
        <v>1754.3600000000001</v>
      </c>
      <c r="M48" s="19"/>
    </row>
    <row r="49" spans="3:13" x14ac:dyDescent="0.35">
      <c r="C49" s="18" t="s">
        <v>12</v>
      </c>
      <c r="G49" s="1">
        <v>1436.81</v>
      </c>
      <c r="H49" s="1">
        <v>320.62</v>
      </c>
      <c r="I49" s="1">
        <v>363.98</v>
      </c>
      <c r="K49" s="1">
        <f t="shared" si="3"/>
        <v>1393.4499999999998</v>
      </c>
      <c r="M49" s="19"/>
    </row>
    <row r="50" spans="3:13" x14ac:dyDescent="0.35">
      <c r="C50" s="18" t="s">
        <v>13</v>
      </c>
      <c r="G50" s="1">
        <v>636.59</v>
      </c>
      <c r="H50" s="1">
        <v>192.06</v>
      </c>
      <c r="I50" s="1">
        <v>81.06</v>
      </c>
      <c r="K50" s="1">
        <f t="shared" si="3"/>
        <v>747.59000000000015</v>
      </c>
      <c r="M50" s="19"/>
    </row>
    <row r="51" spans="3:13" x14ac:dyDescent="0.35">
      <c r="C51" s="18" t="s">
        <v>14</v>
      </c>
      <c r="G51" s="1">
        <v>417.66</v>
      </c>
      <c r="H51" s="1">
        <v>145.69</v>
      </c>
      <c r="I51" s="1">
        <v>115.97</v>
      </c>
      <c r="K51" s="1">
        <f t="shared" si="3"/>
        <v>447.38</v>
      </c>
      <c r="M51" s="19"/>
    </row>
    <row r="52" spans="3:13" x14ac:dyDescent="0.35">
      <c r="C52" s="18" t="s">
        <v>15</v>
      </c>
      <c r="G52" s="1">
        <v>802.75</v>
      </c>
      <c r="H52" s="1">
        <v>164.26</v>
      </c>
      <c r="I52" s="1">
        <v>150.6</v>
      </c>
      <c r="K52" s="1">
        <f t="shared" si="3"/>
        <v>816.41</v>
      </c>
      <c r="M52" s="19"/>
    </row>
    <row r="53" spans="3:13" ht="28" thickBot="1" x14ac:dyDescent="0.4">
      <c r="C53" s="20" t="s">
        <v>16</v>
      </c>
      <c r="D53" s="11"/>
      <c r="E53" s="11"/>
      <c r="F53" s="11"/>
      <c r="G53" s="11">
        <v>64.08</v>
      </c>
      <c r="H53" s="11">
        <v>39.9</v>
      </c>
      <c r="I53" s="11">
        <v>39.270000000000003</v>
      </c>
      <c r="J53" s="11"/>
      <c r="K53" s="11">
        <f t="shared" si="3"/>
        <v>64.70999999999998</v>
      </c>
      <c r="L53" s="11"/>
      <c r="M53" s="21"/>
    </row>
  </sheetData>
  <mergeCells count="2">
    <mergeCell ref="B3:D3"/>
    <mergeCell ref="B9:D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92620-BF11-F944-B5FA-B4BF918288B7}">
  <dimension ref="A1"/>
  <sheetViews>
    <sheetView workbookViewId="0">
      <selection activeCell="B1" sqref="B1"/>
    </sheetView>
  </sheetViews>
  <sheetFormatPr baseColWidth="10" defaultRowHeight="27" x14ac:dyDescent="0.35"/>
  <cols>
    <col min="1" max="1" width="2.1640625" style="1" customWidth="1"/>
    <col min="2" max="16384" width="10.83203125" style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A8B26-10C7-2149-AC8E-AEF91060E98E}">
  <dimension ref="A1"/>
  <sheetViews>
    <sheetView workbookViewId="0">
      <selection activeCell="B1" sqref="B1"/>
    </sheetView>
  </sheetViews>
  <sheetFormatPr baseColWidth="10" defaultRowHeight="27" x14ac:dyDescent="0.35"/>
  <cols>
    <col min="1" max="1" width="2.1640625" style="1" customWidth="1"/>
    <col min="2" max="16384" width="10.83203125" style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LTM Calc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2025-09-19T08:39:31Z</dcterms:created>
  <dcterms:modified xsi:type="dcterms:W3CDTF">2025-10-09T17:41:10Z</dcterms:modified>
</cp:coreProperties>
</file>