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10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1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2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/Users/devmac/Downloads/"/>
    </mc:Choice>
  </mc:AlternateContent>
  <xr:revisionPtr revIDLastSave="0" documentId="13_ncr:1_{8CCAF552-8DE3-E246-9DFB-D68A79F75025}" xr6:coauthVersionLast="47" xr6:coauthVersionMax="47" xr10:uidLastSave="{00000000-0000-0000-0000-000000000000}"/>
  <bookViews>
    <workbookView xWindow="0" yWindow="720" windowWidth="29400" windowHeight="18400" activeTab="5" xr2:uid="{F890E79E-0929-724D-A9E0-DDBA6B648651}"/>
  </bookViews>
  <sheets>
    <sheet name="Profile" sheetId="23" r:id="rId1"/>
    <sheet name="P &amp; L" sheetId="2" r:id="rId2"/>
    <sheet name="Balance sheet" sheetId="1" r:id="rId3"/>
    <sheet name="Cash Flow " sheetId="3" r:id="rId4"/>
    <sheet name="Sstatment of Equity" sheetId="4" r:id="rId5"/>
    <sheet name="Fore - P&amp; L" sheetId="19" r:id="rId6"/>
    <sheet name="Fore - Balan" sheetId="21" r:id="rId7"/>
    <sheet name="Fore - Cash Flow" sheetId="22" r:id="rId8"/>
    <sheet name="RATIOS" sheetId="16" r:id="rId9"/>
    <sheet name="Work Sheet" sheetId="24" r:id="rId10"/>
    <sheet name="Forecasted sheet" sheetId="5" r:id="rId11"/>
    <sheet name="FCFF" sheetId="11" r:id="rId12"/>
    <sheet name="Calculatios" sheetId="9" r:id="rId13"/>
    <sheet name="Beta Calculation" sheetId="12" r:id="rId14"/>
    <sheet name="INPUTS" sheetId="13" r:id="rId15"/>
    <sheet name="Forecast DVDN" sheetId="15" r:id="rId16"/>
    <sheet name="Calculations DVDND" sheetId="14" r:id="rId17"/>
    <sheet name="Sheet1" sheetId="17" r:id="rId18"/>
    <sheet name="Sheet6" sheetId="6" r:id="rId19"/>
    <sheet name="Sheet7" sheetId="7" r:id="rId20"/>
    <sheet name="Sheet8" sheetId="8" r:id="rId21"/>
  </sheets>
  <externalReferences>
    <externalReference r:id="rId22"/>
  </externalReferences>
  <definedNames>
    <definedName name="_xlnm.Print_Area" localSheetId="0">Profile!$C$4:$S$117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3" i="19" l="1"/>
  <c r="P23" i="19"/>
  <c r="Q23" i="19"/>
  <c r="R23" i="19"/>
  <c r="S23" i="19"/>
  <c r="O23" i="19"/>
  <c r="U20" i="22" l="1"/>
  <c r="V20" i="22"/>
  <c r="W20" i="22"/>
  <c r="X20" i="22"/>
  <c r="T20" i="22"/>
  <c r="E22" i="15"/>
  <c r="H34" i="23" l="1"/>
  <c r="I32" i="23"/>
  <c r="J32" i="23"/>
  <c r="K32" i="23"/>
  <c r="L32" i="23"/>
  <c r="H32" i="23"/>
  <c r="I31" i="23"/>
  <c r="J31" i="23"/>
  <c r="K31" i="23"/>
  <c r="L31" i="23"/>
  <c r="H31" i="23"/>
  <c r="H16" i="24"/>
  <c r="I16" i="24"/>
  <c r="J16" i="24"/>
  <c r="K16" i="24"/>
  <c r="G16" i="24"/>
  <c r="H12" i="24"/>
  <c r="I12" i="24"/>
  <c r="J12" i="24"/>
  <c r="K12" i="24"/>
  <c r="G12" i="24"/>
  <c r="H13" i="24"/>
  <c r="I13" i="24"/>
  <c r="J13" i="24"/>
  <c r="K13" i="24"/>
  <c r="G13" i="24"/>
  <c r="H14" i="24"/>
  <c r="I14" i="24"/>
  <c r="J14" i="24"/>
  <c r="K14" i="24"/>
  <c r="G14" i="24"/>
  <c r="G11" i="24"/>
  <c r="I33" i="23"/>
  <c r="J33" i="23"/>
  <c r="K33" i="23"/>
  <c r="L33" i="23"/>
  <c r="H33" i="23"/>
  <c r="H6" i="24"/>
  <c r="I6" i="24"/>
  <c r="J6" i="24"/>
  <c r="K6" i="24"/>
  <c r="G6" i="24"/>
  <c r="K5" i="24"/>
  <c r="J5" i="24"/>
  <c r="I5" i="24"/>
  <c r="H5" i="24"/>
  <c r="G5" i="24"/>
  <c r="H4" i="24"/>
  <c r="I4" i="24"/>
  <c r="J4" i="24"/>
  <c r="K4" i="24"/>
  <c r="G4" i="24"/>
  <c r="K3" i="24"/>
  <c r="J3" i="24"/>
  <c r="I3" i="24"/>
  <c r="H3" i="24"/>
  <c r="G3" i="24"/>
  <c r="H2" i="24"/>
  <c r="I2" i="24"/>
  <c r="J2" i="24"/>
  <c r="K2" i="24"/>
  <c r="G2" i="24"/>
  <c r="L30" i="23"/>
  <c r="K30" i="23"/>
  <c r="J30" i="23"/>
  <c r="I30" i="23"/>
  <c r="H30" i="23"/>
  <c r="S59" i="23"/>
  <c r="S58" i="23"/>
  <c r="S57" i="23"/>
  <c r="L41" i="23"/>
  <c r="L42" i="23"/>
  <c r="L43" i="23"/>
  <c r="L44" i="23"/>
  <c r="L45" i="23"/>
  <c r="L46" i="23"/>
  <c r="L47" i="23"/>
  <c r="L48" i="23"/>
  <c r="L49" i="23"/>
  <c r="L40" i="23"/>
  <c r="E4" i="24"/>
  <c r="E5" i="24"/>
  <c r="E6" i="24"/>
  <c r="E7" i="24"/>
  <c r="E3" i="24"/>
  <c r="I35" i="23"/>
  <c r="J35" i="23"/>
  <c r="K35" i="23"/>
  <c r="L35" i="23"/>
  <c r="H35" i="23"/>
  <c r="I34" i="23"/>
  <c r="J34" i="23"/>
  <c r="K34" i="23"/>
  <c r="L34" i="23"/>
  <c r="I24" i="23"/>
  <c r="J24" i="23"/>
  <c r="K24" i="23"/>
  <c r="L25" i="23" s="1"/>
  <c r="L24" i="23"/>
  <c r="H24" i="23"/>
  <c r="P57" i="2"/>
  <c r="Q57" i="2"/>
  <c r="R57" i="2"/>
  <c r="S57" i="2"/>
  <c r="O57" i="2"/>
  <c r="I18" i="23"/>
  <c r="J18" i="23"/>
  <c r="K18" i="23"/>
  <c r="L18" i="23"/>
  <c r="I19" i="23"/>
  <c r="J19" i="23"/>
  <c r="K19" i="23"/>
  <c r="L19" i="23"/>
  <c r="I20" i="23"/>
  <c r="J20" i="23"/>
  <c r="K20" i="23"/>
  <c r="L20" i="23"/>
  <c r="I21" i="23"/>
  <c r="J21" i="23"/>
  <c r="K21" i="23"/>
  <c r="L21" i="23"/>
  <c r="I22" i="23"/>
  <c r="J22" i="23"/>
  <c r="K22" i="23"/>
  <c r="K23" i="23" s="1"/>
  <c r="L22" i="23"/>
  <c r="L23" i="23" s="1"/>
  <c r="H22" i="23"/>
  <c r="H21" i="23"/>
  <c r="H20" i="23"/>
  <c r="H19" i="23"/>
  <c r="H18" i="23"/>
  <c r="I16" i="23"/>
  <c r="J16" i="23"/>
  <c r="J17" i="23" s="1"/>
  <c r="K16" i="23"/>
  <c r="L16" i="23"/>
  <c r="L17" i="23" s="1"/>
  <c r="H16" i="23"/>
  <c r="S56" i="23"/>
  <c r="P87" i="16"/>
  <c r="P71" i="16"/>
  <c r="P52" i="16"/>
  <c r="O87" i="16"/>
  <c r="O71" i="16"/>
  <c r="O52" i="16"/>
  <c r="Q87" i="21"/>
  <c r="P87" i="21"/>
  <c r="S64" i="21"/>
  <c r="U63" i="21"/>
  <c r="V63" i="21" s="1"/>
  <c r="W63" i="21" s="1"/>
  <c r="W64" i="21" s="1"/>
  <c r="T63" i="21"/>
  <c r="T64" i="21" s="1"/>
  <c r="S63" i="21"/>
  <c r="J109" i="16"/>
  <c r="K109" i="16"/>
  <c r="L109" i="16"/>
  <c r="M109" i="16"/>
  <c r="I109" i="16"/>
  <c r="J102" i="16"/>
  <c r="K102" i="16"/>
  <c r="L102" i="16"/>
  <c r="M102" i="16"/>
  <c r="I102" i="16"/>
  <c r="M104" i="16"/>
  <c r="L104" i="16"/>
  <c r="K104" i="16"/>
  <c r="J104" i="16"/>
  <c r="I104" i="16"/>
  <c r="J103" i="16"/>
  <c r="K103" i="16"/>
  <c r="L103" i="16"/>
  <c r="M103" i="16"/>
  <c r="I103" i="16"/>
  <c r="G96" i="16"/>
  <c r="G93" i="16" s="1"/>
  <c r="H96" i="16"/>
  <c r="H93" i="16" s="1"/>
  <c r="I96" i="16"/>
  <c r="I93" i="16" s="1"/>
  <c r="J96" i="16"/>
  <c r="J93" i="16" s="1"/>
  <c r="K96" i="16"/>
  <c r="K93" i="16" s="1"/>
  <c r="L96" i="16"/>
  <c r="L93" i="16" s="1"/>
  <c r="M96" i="16"/>
  <c r="M93" i="16" s="1"/>
  <c r="F96" i="16"/>
  <c r="F93" i="16" s="1"/>
  <c r="O93" i="16" s="1"/>
  <c r="S45" i="22"/>
  <c r="T44" i="22" s="1"/>
  <c r="O45" i="22"/>
  <c r="O51" i="22" s="1"/>
  <c r="P45" i="22"/>
  <c r="Q45" i="22"/>
  <c r="R45" i="22"/>
  <c r="N45" i="22"/>
  <c r="P91" i="21"/>
  <c r="Q91" i="21"/>
  <c r="Q97" i="21"/>
  <c r="P97" i="21"/>
  <c r="Q95" i="21"/>
  <c r="P95" i="21"/>
  <c r="Q93" i="21"/>
  <c r="P93" i="21"/>
  <c r="Q85" i="21"/>
  <c r="P85" i="21"/>
  <c r="Q79" i="21"/>
  <c r="P79" i="21"/>
  <c r="Q77" i="21"/>
  <c r="P77" i="21"/>
  <c r="Q75" i="21"/>
  <c r="P75" i="21"/>
  <c r="Q73" i="21"/>
  <c r="P73" i="21"/>
  <c r="Q67" i="21"/>
  <c r="P67" i="21"/>
  <c r="Q65" i="21"/>
  <c r="P65" i="21"/>
  <c r="Q55" i="21"/>
  <c r="P55" i="21"/>
  <c r="Q53" i="21"/>
  <c r="P53" i="21"/>
  <c r="Q51" i="21"/>
  <c r="P51" i="21"/>
  <c r="Q49" i="21"/>
  <c r="P49" i="21"/>
  <c r="Q47" i="21"/>
  <c r="P47" i="21"/>
  <c r="Q45" i="21"/>
  <c r="P45" i="21"/>
  <c r="Q43" i="21"/>
  <c r="P43" i="21"/>
  <c r="Q41" i="21"/>
  <c r="P41" i="21"/>
  <c r="Q38" i="21"/>
  <c r="P38" i="21"/>
  <c r="Q31" i="21"/>
  <c r="P31" i="21"/>
  <c r="Q26" i="21"/>
  <c r="Q24" i="21"/>
  <c r="Q22" i="21"/>
  <c r="Q20" i="21"/>
  <c r="Q18" i="21"/>
  <c r="Q16" i="21"/>
  <c r="P26" i="21"/>
  <c r="P24" i="21"/>
  <c r="P22" i="21"/>
  <c r="P20" i="21"/>
  <c r="P18" i="21"/>
  <c r="P16" i="21"/>
  <c r="Q14" i="21"/>
  <c r="P14" i="21"/>
  <c r="U26" i="19"/>
  <c r="T27" i="19"/>
  <c r="U18" i="19"/>
  <c r="T19" i="19"/>
  <c r="T15" i="19"/>
  <c r="U12" i="19"/>
  <c r="V12" i="19" s="1"/>
  <c r="S38" i="19"/>
  <c r="R38" i="19"/>
  <c r="Q38" i="19"/>
  <c r="P38" i="19"/>
  <c r="O38" i="19"/>
  <c r="O16" i="19"/>
  <c r="O20" i="19" s="1"/>
  <c r="O21" i="19" s="1"/>
  <c r="Q32" i="19"/>
  <c r="Q37" i="19" s="1"/>
  <c r="S27" i="19"/>
  <c r="R27" i="19"/>
  <c r="Q27" i="19"/>
  <c r="P27" i="19"/>
  <c r="O27" i="19"/>
  <c r="R19" i="19"/>
  <c r="Q19" i="19"/>
  <c r="P19" i="19"/>
  <c r="O19" i="19"/>
  <c r="R15" i="19"/>
  <c r="Q15" i="19"/>
  <c r="P15" i="19"/>
  <c r="O15" i="19"/>
  <c r="P16" i="19"/>
  <c r="P17" i="19" s="1"/>
  <c r="Q16" i="19"/>
  <c r="Q20" i="19" s="1"/>
  <c r="Q24" i="19" s="1"/>
  <c r="Q28" i="19" s="1"/>
  <c r="R16" i="19"/>
  <c r="R17" i="19" s="1"/>
  <c r="Q13" i="19"/>
  <c r="R13" i="19"/>
  <c r="P13" i="19"/>
  <c r="R63" i="22"/>
  <c r="Q63" i="22"/>
  <c r="P63" i="22"/>
  <c r="O63" i="22"/>
  <c r="N63" i="22"/>
  <c r="R51" i="22"/>
  <c r="Q51" i="22"/>
  <c r="P51" i="22"/>
  <c r="N51" i="22"/>
  <c r="R39" i="22"/>
  <c r="R41" i="22" s="1"/>
  <c r="Q39" i="22"/>
  <c r="Q41" i="22" s="1"/>
  <c r="R30" i="22"/>
  <c r="Q30" i="22"/>
  <c r="P30" i="22"/>
  <c r="P39" i="22" s="1"/>
  <c r="P41" i="22" s="1"/>
  <c r="O30" i="22"/>
  <c r="O39" i="22" s="1"/>
  <c r="O41" i="22" s="1"/>
  <c r="N30" i="22"/>
  <c r="N39" i="22" s="1"/>
  <c r="N41" i="22" s="1"/>
  <c r="O64" i="21"/>
  <c r="N64" i="21"/>
  <c r="M64" i="21"/>
  <c r="Q44" i="19"/>
  <c r="P44" i="19"/>
  <c r="O44" i="19"/>
  <c r="Q36" i="19"/>
  <c r="P36" i="19"/>
  <c r="O36" i="19"/>
  <c r="S12" i="19"/>
  <c r="S13" i="19" s="1"/>
  <c r="G90" i="16"/>
  <c r="G87" i="16" s="1"/>
  <c r="H90" i="16"/>
  <c r="H87" i="16" s="1"/>
  <c r="I90" i="16"/>
  <c r="I87" i="16" s="1"/>
  <c r="J90" i="16"/>
  <c r="J87" i="16" s="1"/>
  <c r="K90" i="16"/>
  <c r="K87" i="16" s="1"/>
  <c r="L90" i="16"/>
  <c r="L87" i="16" s="1"/>
  <c r="M90" i="16"/>
  <c r="M87" i="16" s="1"/>
  <c r="F90" i="16"/>
  <c r="F87" i="16" s="1"/>
  <c r="J128" i="16"/>
  <c r="K128" i="16"/>
  <c r="L128" i="16"/>
  <c r="M128" i="16"/>
  <c r="J129" i="16"/>
  <c r="K129" i="16"/>
  <c r="L129" i="16"/>
  <c r="M129" i="16"/>
  <c r="J125" i="16"/>
  <c r="K125" i="16"/>
  <c r="L125" i="16"/>
  <c r="M125" i="16"/>
  <c r="J126" i="16"/>
  <c r="K126" i="16"/>
  <c r="L126" i="16"/>
  <c r="M126" i="16"/>
  <c r="I129" i="16"/>
  <c r="I128" i="16"/>
  <c r="I126" i="16"/>
  <c r="I125" i="16"/>
  <c r="J123" i="16"/>
  <c r="K123" i="16"/>
  <c r="L123" i="16"/>
  <c r="M123" i="16"/>
  <c r="I123" i="16"/>
  <c r="J122" i="16"/>
  <c r="K122" i="16"/>
  <c r="L122" i="16"/>
  <c r="I122" i="16"/>
  <c r="U22" i="19" l="1"/>
  <c r="T14" i="22" s="1"/>
  <c r="S13" i="21" s="1"/>
  <c r="U44" i="22"/>
  <c r="R16" i="21"/>
  <c r="S15" i="21" s="1"/>
  <c r="T15" i="21" s="1"/>
  <c r="U15" i="21" s="1"/>
  <c r="V15" i="21" s="1"/>
  <c r="W15" i="21" s="1"/>
  <c r="V14" i="19"/>
  <c r="V18" i="19"/>
  <c r="W12" i="19"/>
  <c r="V26" i="19"/>
  <c r="T42" i="21"/>
  <c r="U14" i="19"/>
  <c r="S42" i="21"/>
  <c r="K25" i="23"/>
  <c r="I17" i="23"/>
  <c r="J23" i="23"/>
  <c r="I23" i="23"/>
  <c r="I25" i="23"/>
  <c r="K17" i="23"/>
  <c r="J25" i="23"/>
  <c r="P93" i="16"/>
  <c r="V64" i="21"/>
  <c r="U64" i="21"/>
  <c r="J100" i="16"/>
  <c r="K100" i="16"/>
  <c r="K101" i="16" s="1"/>
  <c r="I100" i="16"/>
  <c r="M100" i="16"/>
  <c r="L100" i="16"/>
  <c r="L101" i="16" s="1"/>
  <c r="L88" i="16"/>
  <c r="J94" i="16"/>
  <c r="H94" i="16"/>
  <c r="I94" i="16"/>
  <c r="G94" i="16"/>
  <c r="M94" i="16"/>
  <c r="K94" i="16"/>
  <c r="L94" i="16"/>
  <c r="K88" i="16"/>
  <c r="J88" i="16"/>
  <c r="G88" i="16"/>
  <c r="H88" i="16"/>
  <c r="I88" i="16"/>
  <c r="M88" i="16"/>
  <c r="I121" i="16"/>
  <c r="J124" i="16"/>
  <c r="J121" i="16"/>
  <c r="L121" i="16"/>
  <c r="P99" i="21"/>
  <c r="P100" i="21" s="1"/>
  <c r="P101" i="21" s="1"/>
  <c r="Q99" i="21"/>
  <c r="Q100" i="21" s="1"/>
  <c r="Q101" i="21" s="1"/>
  <c r="O17" i="19"/>
  <c r="Q25" i="19"/>
  <c r="Q21" i="19"/>
  <c r="Q17" i="19"/>
  <c r="Q45" i="19" s="1"/>
  <c r="R20" i="19"/>
  <c r="P20" i="19"/>
  <c r="S15" i="19"/>
  <c r="S19" i="19"/>
  <c r="S16" i="19"/>
  <c r="K121" i="16"/>
  <c r="N65" i="22"/>
  <c r="P65" i="22"/>
  <c r="Q65" i="22"/>
  <c r="O65" i="22"/>
  <c r="R65" i="22"/>
  <c r="I127" i="16"/>
  <c r="I124" i="16"/>
  <c r="M127" i="16"/>
  <c r="L127" i="16"/>
  <c r="K127" i="16"/>
  <c r="J127" i="16"/>
  <c r="M124" i="16"/>
  <c r="L124" i="16"/>
  <c r="K124" i="16"/>
  <c r="V44" i="22" l="1"/>
  <c r="V22" i="19"/>
  <c r="T88" i="21"/>
  <c r="T37" i="21"/>
  <c r="U14" i="22"/>
  <c r="T13" i="21" s="1"/>
  <c r="S88" i="21"/>
  <c r="S37" i="21"/>
  <c r="V16" i="19"/>
  <c r="V20" i="19" s="1"/>
  <c r="V24" i="19" s="1"/>
  <c r="V28" i="19" s="1"/>
  <c r="V32" i="19" s="1"/>
  <c r="U12" i="22" s="1"/>
  <c r="X12" i="19"/>
  <c r="W26" i="19"/>
  <c r="W14" i="19"/>
  <c r="W18" i="19"/>
  <c r="U42" i="21"/>
  <c r="U16" i="19"/>
  <c r="U20" i="19" s="1"/>
  <c r="U24" i="19" s="1"/>
  <c r="U28" i="19" s="1"/>
  <c r="U32" i="19" s="1"/>
  <c r="T12" i="22" s="1"/>
  <c r="P100" i="16"/>
  <c r="O100" i="16"/>
  <c r="M101" i="16"/>
  <c r="I131" i="16"/>
  <c r="J131" i="16"/>
  <c r="P24" i="19"/>
  <c r="P21" i="19"/>
  <c r="O24" i="19"/>
  <c r="O28" i="19" s="1"/>
  <c r="O32" i="19" s="1"/>
  <c r="O37" i="19" s="1"/>
  <c r="R24" i="19"/>
  <c r="R21" i="19"/>
  <c r="S17" i="19"/>
  <c r="S20" i="19"/>
  <c r="L131" i="16"/>
  <c r="K131" i="16"/>
  <c r="W44" i="22" l="1"/>
  <c r="W22" i="19"/>
  <c r="V34" i="19"/>
  <c r="V37" i="19" s="1"/>
  <c r="Y12" i="19"/>
  <c r="X18" i="19"/>
  <c r="X26" i="19"/>
  <c r="X14" i="19"/>
  <c r="V42" i="21"/>
  <c r="U34" i="19"/>
  <c r="U37" i="19"/>
  <c r="U88" i="21"/>
  <c r="U37" i="21"/>
  <c r="W16" i="19"/>
  <c r="W20" i="19" s="1"/>
  <c r="W24" i="19" s="1"/>
  <c r="W28" i="19" s="1"/>
  <c r="W32" i="19" s="1"/>
  <c r="V14" i="22"/>
  <c r="U13" i="21" s="1"/>
  <c r="R28" i="19"/>
  <c r="R32" i="19" s="1"/>
  <c r="R37" i="19" s="1"/>
  <c r="R25" i="19"/>
  <c r="O25" i="19"/>
  <c r="P28" i="19"/>
  <c r="P32" i="19" s="1"/>
  <c r="P37" i="19" s="1"/>
  <c r="P25" i="19"/>
  <c r="P45" i="19" s="1"/>
  <c r="O45" i="19"/>
  <c r="S24" i="19"/>
  <c r="S21" i="19"/>
  <c r="X44" i="22" l="1"/>
  <c r="Y22" i="19" s="1"/>
  <c r="X22" i="19"/>
  <c r="W34" i="19"/>
  <c r="W37" i="19" s="1"/>
  <c r="V12" i="22"/>
  <c r="V88" i="21"/>
  <c r="V37" i="21"/>
  <c r="W14" i="22"/>
  <c r="V13" i="21" s="1"/>
  <c r="X16" i="19"/>
  <c r="X20" i="19" s="1"/>
  <c r="X24" i="19" s="1"/>
  <c r="X28" i="19" s="1"/>
  <c r="X32" i="19" s="1"/>
  <c r="W12" i="22" s="1"/>
  <c r="W42" i="21"/>
  <c r="Y14" i="19"/>
  <c r="Y16" i="19" s="1"/>
  <c r="Y20" i="19" s="1"/>
  <c r="Y18" i="19"/>
  <c r="Y26" i="19"/>
  <c r="S28" i="19"/>
  <c r="S32" i="19" s="1"/>
  <c r="S37" i="19" s="1"/>
  <c r="S25" i="19"/>
  <c r="X34" i="19" l="1"/>
  <c r="X37" i="19" s="1"/>
  <c r="Y24" i="19"/>
  <c r="Y28" i="19" s="1"/>
  <c r="Y32" i="19" s="1"/>
  <c r="X14" i="22"/>
  <c r="W13" i="21" s="1"/>
  <c r="W37" i="21"/>
  <c r="W88" i="21"/>
  <c r="O42" i="2"/>
  <c r="O35" i="2"/>
  <c r="N62" i="3"/>
  <c r="N50" i="3"/>
  <c r="N30" i="3"/>
  <c r="N39" i="3" s="1"/>
  <c r="N41" i="3" s="1"/>
  <c r="O62" i="3"/>
  <c r="R62" i="3"/>
  <c r="Q62" i="3"/>
  <c r="P62" i="3"/>
  <c r="O50" i="3"/>
  <c r="R50" i="3"/>
  <c r="Q50" i="3"/>
  <c r="P50" i="3"/>
  <c r="O30" i="3"/>
  <c r="O39" i="3" s="1"/>
  <c r="O41" i="3" s="1"/>
  <c r="R30" i="3"/>
  <c r="R39" i="3" s="1"/>
  <c r="Q30" i="3"/>
  <c r="Q39" i="3" s="1"/>
  <c r="P30" i="3"/>
  <c r="P39" i="3" s="1"/>
  <c r="P41" i="3" s="1"/>
  <c r="Q42" i="2"/>
  <c r="P42" i="2"/>
  <c r="P35" i="2"/>
  <c r="Q35" i="2"/>
  <c r="S29" i="2"/>
  <c r="S31" i="2" s="1"/>
  <c r="R29" i="2"/>
  <c r="R31" i="2" s="1"/>
  <c r="O26" i="2"/>
  <c r="Q26" i="2"/>
  <c r="P26" i="2"/>
  <c r="O14" i="2"/>
  <c r="R14" i="2"/>
  <c r="Q14" i="2"/>
  <c r="P14" i="2"/>
  <c r="M69" i="1"/>
  <c r="M46" i="1"/>
  <c r="M48" i="1" s="1"/>
  <c r="M57" i="1"/>
  <c r="M40" i="1"/>
  <c r="M27" i="1"/>
  <c r="N46" i="1"/>
  <c r="N69" i="1"/>
  <c r="O69" i="1"/>
  <c r="O57" i="1"/>
  <c r="N57" i="1"/>
  <c r="O46" i="1"/>
  <c r="O48" i="1" s="1"/>
  <c r="N40" i="1"/>
  <c r="O40" i="1"/>
  <c r="N27" i="1"/>
  <c r="O27" i="1"/>
  <c r="J16" i="5"/>
  <c r="G13" i="9"/>
  <c r="G48" i="9"/>
  <c r="F68" i="9"/>
  <c r="I12" i="5"/>
  <c r="H12" i="5"/>
  <c r="G12" i="5"/>
  <c r="F12" i="5"/>
  <c r="E12" i="5"/>
  <c r="E18" i="5"/>
  <c r="E23" i="15"/>
  <c r="H35" i="9"/>
  <c r="G35" i="9"/>
  <c r="Y34" i="19" l="1"/>
  <c r="Y37" i="19" s="1"/>
  <c r="X12" i="22"/>
  <c r="O27" i="2"/>
  <c r="O29" i="2" s="1"/>
  <c r="O31" i="2" s="1"/>
  <c r="O36" i="2" s="1"/>
  <c r="O43" i="2" s="1"/>
  <c r="N64" i="3"/>
  <c r="P27" i="2"/>
  <c r="P29" i="2" s="1"/>
  <c r="P31" i="2" s="1"/>
  <c r="P36" i="2" s="1"/>
  <c r="P43" i="2" s="1"/>
  <c r="Q27" i="2"/>
  <c r="Q29" i="2" s="1"/>
  <c r="Q31" i="2" s="1"/>
  <c r="Q36" i="2" s="1"/>
  <c r="Q43" i="2" s="1"/>
  <c r="M70" i="1"/>
  <c r="M71" i="1" s="1"/>
  <c r="P64" i="3"/>
  <c r="O64" i="3"/>
  <c r="M41" i="1"/>
  <c r="N41" i="1"/>
  <c r="O41" i="1"/>
  <c r="N70" i="1"/>
  <c r="O70" i="1"/>
  <c r="O71" i="1" s="1"/>
  <c r="N48" i="1"/>
  <c r="G42" i="9"/>
  <c r="G43" i="9"/>
  <c r="G45" i="9"/>
  <c r="N6" i="12"/>
  <c r="G8" i="9"/>
  <c r="H8" i="9"/>
  <c r="I8" i="9"/>
  <c r="J8" i="9"/>
  <c r="K8" i="9"/>
  <c r="G8" i="5"/>
  <c r="M83" i="16"/>
  <c r="M81" i="16" s="1"/>
  <c r="L83" i="16"/>
  <c r="L81" i="16" s="1"/>
  <c r="K83" i="16"/>
  <c r="K81" i="16" s="1"/>
  <c r="J83" i="16"/>
  <c r="J81" i="16" s="1"/>
  <c r="I83" i="16"/>
  <c r="I81" i="16" s="1"/>
  <c r="H83" i="16"/>
  <c r="H81" i="16" s="1"/>
  <c r="G83" i="16"/>
  <c r="G81" i="16" s="1"/>
  <c r="F83" i="16"/>
  <c r="F81" i="16" s="1"/>
  <c r="M153" i="16"/>
  <c r="M79" i="16" s="1"/>
  <c r="M76" i="16" s="1"/>
  <c r="L153" i="16"/>
  <c r="L79" i="16" s="1"/>
  <c r="L76" i="16" s="1"/>
  <c r="K153" i="16"/>
  <c r="K79" i="16" s="1"/>
  <c r="K76" i="16" s="1"/>
  <c r="J153" i="16"/>
  <c r="J79" i="16" s="1"/>
  <c r="J76" i="16" s="1"/>
  <c r="I153" i="16"/>
  <c r="I79" i="16" s="1"/>
  <c r="I76" i="16" s="1"/>
  <c r="H153" i="16"/>
  <c r="H79" i="16" s="1"/>
  <c r="H76" i="16" s="1"/>
  <c r="G153" i="16"/>
  <c r="G79" i="16" s="1"/>
  <c r="G76" i="16" s="1"/>
  <c r="F153" i="16"/>
  <c r="F79" i="16" s="1"/>
  <c r="F76" i="16" s="1"/>
  <c r="M13" i="16"/>
  <c r="M12" i="16" s="1"/>
  <c r="L13" i="16"/>
  <c r="L12" i="16" s="1"/>
  <c r="K13" i="16"/>
  <c r="K12" i="16" s="1"/>
  <c r="J13" i="16"/>
  <c r="J12" i="16" s="1"/>
  <c r="I13" i="16"/>
  <c r="I12" i="16" s="1"/>
  <c r="H13" i="16"/>
  <c r="H12" i="16" s="1"/>
  <c r="G13" i="16"/>
  <c r="G12" i="16" s="1"/>
  <c r="F13" i="16"/>
  <c r="F12" i="16" s="1"/>
  <c r="M5" i="16"/>
  <c r="L5" i="16"/>
  <c r="K5" i="16"/>
  <c r="J5" i="16"/>
  <c r="I5" i="16"/>
  <c r="H5" i="16"/>
  <c r="G5" i="16"/>
  <c r="F5" i="16"/>
  <c r="F16" i="16"/>
  <c r="F21" i="16" s="1"/>
  <c r="F18" i="16" s="1"/>
  <c r="G16" i="16"/>
  <c r="G21" i="16" s="1"/>
  <c r="G18" i="16" s="1"/>
  <c r="H16" i="16"/>
  <c r="H21" i="16" s="1"/>
  <c r="H18" i="16" s="1"/>
  <c r="I16" i="16"/>
  <c r="I21" i="16" s="1"/>
  <c r="I18" i="16" s="1"/>
  <c r="J16" i="16"/>
  <c r="K16" i="16"/>
  <c r="L16" i="16"/>
  <c r="M16" i="16"/>
  <c r="C66" i="16"/>
  <c r="M63" i="16"/>
  <c r="L63" i="16"/>
  <c r="K63" i="16"/>
  <c r="J63" i="16"/>
  <c r="I63" i="16"/>
  <c r="H63" i="16"/>
  <c r="G63" i="16"/>
  <c r="F63" i="16"/>
  <c r="M60" i="16"/>
  <c r="L60" i="16"/>
  <c r="K60" i="16"/>
  <c r="K66" i="16" s="1"/>
  <c r="K64" i="16" s="1"/>
  <c r="J60" i="16"/>
  <c r="I60" i="16"/>
  <c r="H60" i="16"/>
  <c r="G60" i="16"/>
  <c r="F60" i="16"/>
  <c r="G55" i="16"/>
  <c r="H55" i="16"/>
  <c r="I55" i="16"/>
  <c r="J55" i="16"/>
  <c r="K55" i="16"/>
  <c r="L55" i="16"/>
  <c r="M55" i="16"/>
  <c r="F55" i="16"/>
  <c r="M146" i="16"/>
  <c r="M50" i="16" s="1"/>
  <c r="L146" i="16"/>
  <c r="L50" i="16" s="1"/>
  <c r="K146" i="16"/>
  <c r="K50" i="16" s="1"/>
  <c r="J146" i="16"/>
  <c r="J50" i="16" s="1"/>
  <c r="I146" i="16"/>
  <c r="I50" i="16" s="1"/>
  <c r="H146" i="16"/>
  <c r="H50" i="16" s="1"/>
  <c r="G146" i="16"/>
  <c r="G50" i="16" s="1"/>
  <c r="F146" i="16"/>
  <c r="F50" i="16" s="1"/>
  <c r="Y138" i="16"/>
  <c r="Y140" i="16" s="1"/>
  <c r="Y142" i="16" s="1"/>
  <c r="M54" i="16" s="1"/>
  <c r="X138" i="16"/>
  <c r="X140" i="16" s="1"/>
  <c r="X142" i="16" s="1"/>
  <c r="L54" i="16" s="1"/>
  <c r="W138" i="16"/>
  <c r="W140" i="16" s="1"/>
  <c r="W142" i="16" s="1"/>
  <c r="K54" i="16" s="1"/>
  <c r="V138" i="16"/>
  <c r="V140" i="16" s="1"/>
  <c r="V142" i="16" s="1"/>
  <c r="J54" i="16" s="1"/>
  <c r="U138" i="16"/>
  <c r="I49" i="16" s="1"/>
  <c r="T138" i="16"/>
  <c r="H49" i="16" s="1"/>
  <c r="S138" i="16"/>
  <c r="G49" i="16" s="1"/>
  <c r="R138" i="16"/>
  <c r="F49" i="16" s="1"/>
  <c r="M138" i="16"/>
  <c r="M45" i="16" s="1"/>
  <c r="L138" i="16"/>
  <c r="L45" i="16" s="1"/>
  <c r="K138" i="16"/>
  <c r="K45" i="16" s="1"/>
  <c r="J138" i="16"/>
  <c r="J45" i="16" s="1"/>
  <c r="I138" i="16"/>
  <c r="I45" i="16" s="1"/>
  <c r="H138" i="16"/>
  <c r="H45" i="16" s="1"/>
  <c r="G138" i="16"/>
  <c r="G45" i="16" s="1"/>
  <c r="F138" i="16"/>
  <c r="F45" i="16" s="1"/>
  <c r="M37" i="16"/>
  <c r="L37" i="16"/>
  <c r="K37" i="16"/>
  <c r="J37" i="16"/>
  <c r="I37" i="16"/>
  <c r="H37" i="16"/>
  <c r="G37" i="16"/>
  <c r="F37" i="16"/>
  <c r="M32" i="16"/>
  <c r="L32" i="16"/>
  <c r="K32" i="16"/>
  <c r="J32" i="16"/>
  <c r="I32" i="16"/>
  <c r="H32" i="16"/>
  <c r="G32" i="16"/>
  <c r="F32" i="16"/>
  <c r="H26" i="6"/>
  <c r="E21" i="15"/>
  <c r="E19" i="15"/>
  <c r="J18" i="14"/>
  <c r="J19" i="14" s="1"/>
  <c r="E16" i="14" s="1"/>
  <c r="C51" i="6"/>
  <c r="B51" i="6"/>
  <c r="E10" i="14"/>
  <c r="E7" i="14"/>
  <c r="E11" i="14" s="1"/>
  <c r="E13" i="14" s="1"/>
  <c r="F70" i="9"/>
  <c r="G46" i="9" s="1"/>
  <c r="F3" i="13"/>
  <c r="I18" i="5"/>
  <c r="B8" i="9"/>
  <c r="B11" i="9"/>
  <c r="C26" i="9"/>
  <c r="G26" i="9"/>
  <c r="F26" i="9"/>
  <c r="E26" i="9"/>
  <c r="D26" i="9"/>
  <c r="G32" i="9"/>
  <c r="G34" i="9" s="1"/>
  <c r="H32" i="9"/>
  <c r="H34" i="9" s="1"/>
  <c r="E89" i="9"/>
  <c r="F89" i="9" s="1"/>
  <c r="E101" i="9"/>
  <c r="F101" i="9" s="1"/>
  <c r="F66" i="9"/>
  <c r="N11" i="12"/>
  <c r="G254" i="12"/>
  <c r="G253" i="12"/>
  <c r="G252" i="12"/>
  <c r="G251" i="12"/>
  <c r="G250" i="12"/>
  <c r="G249" i="12"/>
  <c r="G248" i="12"/>
  <c r="G247" i="12"/>
  <c r="G246" i="12"/>
  <c r="G245" i="12"/>
  <c r="G244" i="12"/>
  <c r="G243" i="12"/>
  <c r="G242" i="12"/>
  <c r="G241" i="12"/>
  <c r="G240" i="12"/>
  <c r="G239" i="12"/>
  <c r="G238" i="12"/>
  <c r="G237" i="12"/>
  <c r="G236" i="12"/>
  <c r="G235" i="12"/>
  <c r="G234" i="12"/>
  <c r="G233" i="12"/>
  <c r="G232" i="12"/>
  <c r="G231" i="12"/>
  <c r="G230" i="12"/>
  <c r="G229" i="12"/>
  <c r="G228" i="12"/>
  <c r="G227" i="12"/>
  <c r="G226" i="12"/>
  <c r="G225" i="12"/>
  <c r="G224" i="12"/>
  <c r="G223" i="12"/>
  <c r="G222" i="12"/>
  <c r="G221" i="12"/>
  <c r="G220" i="12"/>
  <c r="G219" i="12"/>
  <c r="G218" i="12"/>
  <c r="G217" i="12"/>
  <c r="G216" i="12"/>
  <c r="G215" i="12"/>
  <c r="G214" i="12"/>
  <c r="G213" i="12"/>
  <c r="G212" i="12"/>
  <c r="G211" i="12"/>
  <c r="G210" i="12"/>
  <c r="G209" i="12"/>
  <c r="G208" i="12"/>
  <c r="G207" i="12"/>
  <c r="G206" i="12"/>
  <c r="G205" i="12"/>
  <c r="G204" i="12"/>
  <c r="G203" i="12"/>
  <c r="G202" i="12"/>
  <c r="G201" i="12"/>
  <c r="G200" i="12"/>
  <c r="G199" i="12"/>
  <c r="G198" i="12"/>
  <c r="G197" i="12"/>
  <c r="G196" i="12"/>
  <c r="G195" i="12"/>
  <c r="G194" i="12"/>
  <c r="G193" i="12"/>
  <c r="G192" i="12"/>
  <c r="G191" i="12"/>
  <c r="G190" i="12"/>
  <c r="G189" i="12"/>
  <c r="G188" i="12"/>
  <c r="G187" i="12"/>
  <c r="G186" i="12"/>
  <c r="G185" i="12"/>
  <c r="G184" i="12"/>
  <c r="G183" i="12"/>
  <c r="G182" i="12"/>
  <c r="G181" i="12"/>
  <c r="G180" i="12"/>
  <c r="G179" i="12"/>
  <c r="G178" i="12"/>
  <c r="G177" i="12"/>
  <c r="G176" i="12"/>
  <c r="G175" i="12"/>
  <c r="G174" i="12"/>
  <c r="G173" i="12"/>
  <c r="G172" i="12"/>
  <c r="G171" i="12"/>
  <c r="G170" i="12"/>
  <c r="G169" i="12"/>
  <c r="G168" i="12"/>
  <c r="G167" i="12"/>
  <c r="G166" i="12"/>
  <c r="G165" i="12"/>
  <c r="G164" i="12"/>
  <c r="G163" i="12"/>
  <c r="G162" i="12"/>
  <c r="G161" i="12"/>
  <c r="G160" i="12"/>
  <c r="G159" i="12"/>
  <c r="G158" i="12"/>
  <c r="G157" i="12"/>
  <c r="G156" i="12"/>
  <c r="G155" i="12"/>
  <c r="G154" i="12"/>
  <c r="G153" i="12"/>
  <c r="G152" i="12"/>
  <c r="G151" i="12"/>
  <c r="G150" i="12"/>
  <c r="G149" i="12"/>
  <c r="G148" i="12"/>
  <c r="G147" i="12"/>
  <c r="G146" i="12"/>
  <c r="G145" i="12"/>
  <c r="G144" i="12"/>
  <c r="G143" i="12"/>
  <c r="G142" i="12"/>
  <c r="G141" i="12"/>
  <c r="G140" i="12"/>
  <c r="G139" i="12"/>
  <c r="G138" i="12"/>
  <c r="G137" i="12"/>
  <c r="G136" i="12"/>
  <c r="G135" i="12"/>
  <c r="G134" i="12"/>
  <c r="G133" i="12"/>
  <c r="G132" i="12"/>
  <c r="G131" i="12"/>
  <c r="G130" i="12"/>
  <c r="G129" i="12"/>
  <c r="G128" i="12"/>
  <c r="G127" i="12"/>
  <c r="G126" i="12"/>
  <c r="G125" i="12"/>
  <c r="G124" i="12"/>
  <c r="G123" i="12"/>
  <c r="G122" i="12"/>
  <c r="G121" i="12"/>
  <c r="G120" i="12"/>
  <c r="G119" i="12"/>
  <c r="G118" i="12"/>
  <c r="G117" i="12"/>
  <c r="G116" i="12"/>
  <c r="G115" i="12"/>
  <c r="G114" i="12"/>
  <c r="G113" i="12"/>
  <c r="G112" i="12"/>
  <c r="G111" i="12"/>
  <c r="G110" i="12"/>
  <c r="G109" i="12"/>
  <c r="G108" i="12"/>
  <c r="G107" i="12"/>
  <c r="G106" i="12"/>
  <c r="G105" i="12"/>
  <c r="G104" i="12"/>
  <c r="G103" i="12"/>
  <c r="G102" i="12"/>
  <c r="G101" i="12"/>
  <c r="G100" i="12"/>
  <c r="G99" i="12"/>
  <c r="G98" i="12"/>
  <c r="G97" i="12"/>
  <c r="G96" i="12"/>
  <c r="G95" i="12"/>
  <c r="G94" i="12"/>
  <c r="G93" i="12"/>
  <c r="G92" i="12"/>
  <c r="G91" i="12"/>
  <c r="G90" i="12"/>
  <c r="G89" i="12"/>
  <c r="G88" i="12"/>
  <c r="G87" i="12"/>
  <c r="G86" i="12"/>
  <c r="G85" i="12"/>
  <c r="G84" i="12"/>
  <c r="G83" i="12"/>
  <c r="G82" i="12"/>
  <c r="G81" i="12"/>
  <c r="G80" i="12"/>
  <c r="G79" i="12"/>
  <c r="G78" i="12"/>
  <c r="G77" i="12"/>
  <c r="G76" i="12"/>
  <c r="G75" i="12"/>
  <c r="G74" i="12"/>
  <c r="G73" i="12"/>
  <c r="G72" i="12"/>
  <c r="G71" i="12"/>
  <c r="G70" i="12"/>
  <c r="G69" i="12"/>
  <c r="G68" i="12"/>
  <c r="G67" i="12"/>
  <c r="G66" i="12"/>
  <c r="G65" i="12"/>
  <c r="G64" i="12"/>
  <c r="G63" i="12"/>
  <c r="G62" i="12"/>
  <c r="G61" i="12"/>
  <c r="G60" i="12"/>
  <c r="G59" i="12"/>
  <c r="G58" i="12"/>
  <c r="G57" i="12"/>
  <c r="G56" i="12"/>
  <c r="G55" i="12"/>
  <c r="G54" i="12"/>
  <c r="G53" i="12"/>
  <c r="G52" i="12"/>
  <c r="G51" i="12"/>
  <c r="G50" i="12"/>
  <c r="G49" i="12"/>
  <c r="G48" i="12"/>
  <c r="G47" i="12"/>
  <c r="G46" i="12"/>
  <c r="G45" i="12"/>
  <c r="G44" i="12"/>
  <c r="G43" i="12"/>
  <c r="G42" i="12"/>
  <c r="G41" i="12"/>
  <c r="G40" i="12"/>
  <c r="G39" i="12"/>
  <c r="G38" i="12"/>
  <c r="G37" i="12"/>
  <c r="G36" i="12"/>
  <c r="G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4" i="12"/>
  <c r="G13" i="12"/>
  <c r="G12" i="12"/>
  <c r="G11" i="12"/>
  <c r="G10" i="12"/>
  <c r="G9" i="12"/>
  <c r="G8" i="12"/>
  <c r="G7" i="12"/>
  <c r="G6" i="12"/>
  <c r="G5" i="12"/>
  <c r="F254" i="12"/>
  <c r="F253" i="12"/>
  <c r="F252" i="12"/>
  <c r="F251" i="12"/>
  <c r="F250" i="12"/>
  <c r="F249" i="12"/>
  <c r="F248" i="12"/>
  <c r="F247" i="12"/>
  <c r="F246" i="12"/>
  <c r="F245" i="12"/>
  <c r="F244" i="12"/>
  <c r="F243" i="12"/>
  <c r="F242" i="12"/>
  <c r="F241" i="12"/>
  <c r="F240" i="12"/>
  <c r="F239" i="12"/>
  <c r="F238" i="12"/>
  <c r="F237" i="12"/>
  <c r="F236" i="12"/>
  <c r="F235" i="12"/>
  <c r="F234" i="12"/>
  <c r="F233" i="12"/>
  <c r="F232" i="12"/>
  <c r="F231" i="12"/>
  <c r="F230" i="12"/>
  <c r="F229" i="12"/>
  <c r="F228" i="12"/>
  <c r="F227" i="12"/>
  <c r="F226" i="12"/>
  <c r="F225" i="12"/>
  <c r="F224" i="12"/>
  <c r="F223" i="12"/>
  <c r="F222" i="12"/>
  <c r="F221" i="12"/>
  <c r="F220" i="12"/>
  <c r="F219" i="12"/>
  <c r="F218" i="12"/>
  <c r="F217" i="12"/>
  <c r="F216" i="12"/>
  <c r="F215" i="12"/>
  <c r="F214" i="12"/>
  <c r="F213" i="12"/>
  <c r="F212" i="12"/>
  <c r="F211" i="12"/>
  <c r="F210" i="12"/>
  <c r="F209" i="12"/>
  <c r="F208" i="12"/>
  <c r="F207" i="12"/>
  <c r="F206" i="12"/>
  <c r="F205" i="12"/>
  <c r="F204" i="12"/>
  <c r="F203" i="12"/>
  <c r="F202" i="12"/>
  <c r="F201" i="12"/>
  <c r="F200" i="12"/>
  <c r="F199" i="12"/>
  <c r="F198" i="12"/>
  <c r="F197" i="12"/>
  <c r="F196" i="12"/>
  <c r="F195" i="12"/>
  <c r="F194" i="12"/>
  <c r="F193" i="12"/>
  <c r="F192" i="12"/>
  <c r="F191" i="12"/>
  <c r="F190" i="12"/>
  <c r="F189" i="12"/>
  <c r="F188" i="12"/>
  <c r="F187" i="12"/>
  <c r="F186" i="12"/>
  <c r="F185" i="12"/>
  <c r="F184" i="12"/>
  <c r="F183" i="12"/>
  <c r="F182" i="12"/>
  <c r="F181" i="12"/>
  <c r="F180" i="12"/>
  <c r="F179" i="12"/>
  <c r="F178" i="12"/>
  <c r="F177" i="12"/>
  <c r="F176" i="12"/>
  <c r="F175" i="12"/>
  <c r="F174" i="12"/>
  <c r="F173" i="12"/>
  <c r="F172" i="12"/>
  <c r="F171" i="12"/>
  <c r="F170" i="12"/>
  <c r="F169" i="12"/>
  <c r="F168" i="12"/>
  <c r="F167" i="12"/>
  <c r="F166" i="12"/>
  <c r="F165" i="12"/>
  <c r="F164" i="12"/>
  <c r="F163" i="12"/>
  <c r="F162" i="12"/>
  <c r="F161" i="12"/>
  <c r="F160" i="12"/>
  <c r="F159" i="12"/>
  <c r="F158" i="12"/>
  <c r="F157" i="12"/>
  <c r="F156" i="12"/>
  <c r="F155" i="12"/>
  <c r="F154" i="12"/>
  <c r="F153" i="12"/>
  <c r="F152" i="12"/>
  <c r="F151" i="12"/>
  <c r="F150" i="12"/>
  <c r="F149" i="12"/>
  <c r="F148" i="12"/>
  <c r="F147" i="12"/>
  <c r="F146" i="12"/>
  <c r="F145" i="12"/>
  <c r="F144" i="12"/>
  <c r="F143" i="12"/>
  <c r="F142" i="12"/>
  <c r="F141" i="12"/>
  <c r="F140" i="12"/>
  <c r="F139" i="12"/>
  <c r="F138" i="12"/>
  <c r="F137" i="12"/>
  <c r="F136" i="12"/>
  <c r="F135" i="12"/>
  <c r="F134" i="12"/>
  <c r="F133" i="12"/>
  <c r="F132" i="12"/>
  <c r="F131" i="12"/>
  <c r="F130" i="12"/>
  <c r="F129" i="12"/>
  <c r="F128" i="12"/>
  <c r="F127" i="12"/>
  <c r="F126" i="12"/>
  <c r="F125" i="12"/>
  <c r="F124" i="12"/>
  <c r="F123" i="12"/>
  <c r="F122" i="12"/>
  <c r="F121" i="12"/>
  <c r="F120" i="12"/>
  <c r="F119" i="12"/>
  <c r="F118" i="12"/>
  <c r="F117" i="12"/>
  <c r="F116" i="12"/>
  <c r="F115" i="12"/>
  <c r="F114" i="12"/>
  <c r="F113" i="12"/>
  <c r="F112" i="12"/>
  <c r="F111" i="12"/>
  <c r="F110" i="12"/>
  <c r="F109" i="12"/>
  <c r="F108" i="12"/>
  <c r="F107" i="12"/>
  <c r="F106" i="12"/>
  <c r="F105" i="12"/>
  <c r="F104" i="12"/>
  <c r="F103" i="12"/>
  <c r="F102" i="12"/>
  <c r="F101" i="12"/>
  <c r="F100" i="12"/>
  <c r="F99" i="12"/>
  <c r="F98" i="12"/>
  <c r="F97" i="12"/>
  <c r="F96" i="12"/>
  <c r="F95" i="12"/>
  <c r="F94" i="12"/>
  <c r="F93" i="12"/>
  <c r="F92" i="12"/>
  <c r="F91" i="12"/>
  <c r="F90" i="12"/>
  <c r="F89" i="12"/>
  <c r="F88" i="12"/>
  <c r="F87" i="12"/>
  <c r="F86" i="12"/>
  <c r="F85" i="12"/>
  <c r="F84" i="12"/>
  <c r="F83" i="12"/>
  <c r="F82" i="12"/>
  <c r="F81" i="12"/>
  <c r="F80" i="12"/>
  <c r="F79" i="12"/>
  <c r="F78" i="12"/>
  <c r="F77" i="12"/>
  <c r="F76" i="12"/>
  <c r="F75" i="12"/>
  <c r="F74" i="12"/>
  <c r="F73" i="12"/>
  <c r="F72" i="12"/>
  <c r="F71" i="12"/>
  <c r="F70" i="12"/>
  <c r="F69" i="12"/>
  <c r="F68" i="12"/>
  <c r="F67" i="12"/>
  <c r="F66" i="12"/>
  <c r="F65" i="12"/>
  <c r="F64" i="12"/>
  <c r="F63" i="12"/>
  <c r="F62" i="12"/>
  <c r="F61" i="12"/>
  <c r="F60" i="12"/>
  <c r="F59" i="12"/>
  <c r="F58" i="12"/>
  <c r="F57" i="12"/>
  <c r="F56" i="12"/>
  <c r="F55" i="12"/>
  <c r="F54" i="12"/>
  <c r="F53" i="12"/>
  <c r="F52" i="12"/>
  <c r="F51" i="12"/>
  <c r="F50" i="12"/>
  <c r="F49" i="12"/>
  <c r="F48" i="12"/>
  <c r="F47" i="12"/>
  <c r="F46" i="12"/>
  <c r="F45" i="12"/>
  <c r="F44" i="12"/>
  <c r="F43" i="12"/>
  <c r="F42" i="12"/>
  <c r="F41" i="12"/>
  <c r="F40" i="12"/>
  <c r="F39" i="12"/>
  <c r="F38" i="12"/>
  <c r="F37" i="12"/>
  <c r="F36" i="12"/>
  <c r="F35" i="12"/>
  <c r="F34" i="12"/>
  <c r="F33" i="12"/>
  <c r="F32" i="12"/>
  <c r="F31" i="12"/>
  <c r="F30" i="12"/>
  <c r="F29" i="12"/>
  <c r="F28" i="12"/>
  <c r="F27" i="12"/>
  <c r="F26" i="12"/>
  <c r="F25" i="12"/>
  <c r="F24" i="12"/>
  <c r="F23" i="12"/>
  <c r="F22" i="12"/>
  <c r="F21" i="12"/>
  <c r="F20" i="12"/>
  <c r="F19" i="12"/>
  <c r="F18" i="12"/>
  <c r="F17" i="12"/>
  <c r="F16" i="12"/>
  <c r="F15" i="12"/>
  <c r="F14" i="12"/>
  <c r="F13" i="12"/>
  <c r="F12" i="12"/>
  <c r="F11" i="12"/>
  <c r="F10" i="12"/>
  <c r="F9" i="12"/>
  <c r="N5" i="12" s="1"/>
  <c r="F8" i="12"/>
  <c r="F7" i="12"/>
  <c r="F6" i="12"/>
  <c r="F5" i="12"/>
  <c r="B21" i="11"/>
  <c r="B6" i="11"/>
  <c r="G18" i="5"/>
  <c r="F18" i="5"/>
  <c r="H18" i="5"/>
  <c r="I14" i="5"/>
  <c r="H14" i="5"/>
  <c r="G14" i="5"/>
  <c r="F14" i="5"/>
  <c r="E14" i="5"/>
  <c r="I10" i="5"/>
  <c r="H10" i="5"/>
  <c r="G10" i="5"/>
  <c r="F10" i="5"/>
  <c r="E10" i="5"/>
  <c r="B9" i="5"/>
  <c r="H35" i="6"/>
  <c r="G35" i="6"/>
  <c r="G33" i="6"/>
  <c r="K32" i="9"/>
  <c r="K34" i="9" s="1"/>
  <c r="K35" i="9" s="1"/>
  <c r="K36" i="9" s="1"/>
  <c r="J32" i="9"/>
  <c r="J34" i="9" s="1"/>
  <c r="J35" i="9" s="1"/>
  <c r="I32" i="9"/>
  <c r="I34" i="9" s="1"/>
  <c r="I35" i="9" s="1"/>
  <c r="J32" i="6"/>
  <c r="K32" i="6"/>
  <c r="L32" i="6"/>
  <c r="I32" i="6"/>
  <c r="F8" i="5"/>
  <c r="I8" i="5"/>
  <c r="H8" i="5"/>
  <c r="B15" i="5"/>
  <c r="G19" i="9"/>
  <c r="K11" i="9" s="1"/>
  <c r="F19" i="9"/>
  <c r="J11" i="9" s="1"/>
  <c r="E19" i="9"/>
  <c r="I11" i="9" s="1"/>
  <c r="D19" i="9"/>
  <c r="H11" i="9" s="1"/>
  <c r="C19" i="9"/>
  <c r="G11" i="9" s="1"/>
  <c r="Q41" i="3"/>
  <c r="Q64" i="3" s="1"/>
  <c r="R41" i="3"/>
  <c r="R64" i="3" s="1"/>
  <c r="S12" i="2"/>
  <c r="P69" i="1"/>
  <c r="P70" i="1" s="1"/>
  <c r="P71" i="1" s="1"/>
  <c r="Q69" i="1"/>
  <c r="Q70" i="1" s="1"/>
  <c r="Q71" i="1" s="1"/>
  <c r="O37" i="16" l="1"/>
  <c r="P37" i="16"/>
  <c r="O32" i="16"/>
  <c r="P32" i="16"/>
  <c r="O5" i="16"/>
  <c r="P5" i="16"/>
  <c r="P81" i="16"/>
  <c r="O81" i="16"/>
  <c r="O76" i="16"/>
  <c r="P76" i="16"/>
  <c r="S14" i="2"/>
  <c r="M122" i="16"/>
  <c r="M121" i="16" s="1"/>
  <c r="M131" i="16" s="1"/>
  <c r="K77" i="16"/>
  <c r="H77" i="16"/>
  <c r="N71" i="1"/>
  <c r="L7" i="5"/>
  <c r="M7" i="5" s="1"/>
  <c r="J14" i="5"/>
  <c r="J10" i="5"/>
  <c r="I77" i="16"/>
  <c r="L77" i="16"/>
  <c r="M77" i="16"/>
  <c r="J77" i="16"/>
  <c r="G77" i="16"/>
  <c r="K82" i="16"/>
  <c r="G82" i="16"/>
  <c r="L82" i="16"/>
  <c r="H82" i="16"/>
  <c r="J82" i="16"/>
  <c r="M82" i="16"/>
  <c r="I82" i="16"/>
  <c r="I10" i="16"/>
  <c r="H10" i="16"/>
  <c r="L6" i="16"/>
  <c r="H19" i="16"/>
  <c r="K6" i="16"/>
  <c r="G6" i="16"/>
  <c r="I19" i="16"/>
  <c r="G10" i="16"/>
  <c r="G19" i="16"/>
  <c r="H6" i="16"/>
  <c r="I6" i="16"/>
  <c r="J6" i="16"/>
  <c r="F10" i="16"/>
  <c r="M6" i="16"/>
  <c r="L10" i="16"/>
  <c r="M10" i="16"/>
  <c r="K10" i="16"/>
  <c r="J10" i="16"/>
  <c r="M21" i="16"/>
  <c r="M18" i="16" s="1"/>
  <c r="O18" i="16" s="1"/>
  <c r="L21" i="16"/>
  <c r="L18" i="16" s="1"/>
  <c r="K21" i="16"/>
  <c r="K18" i="16" s="1"/>
  <c r="J21" i="16"/>
  <c r="J18" i="16" s="1"/>
  <c r="J19" i="16" s="1"/>
  <c r="F58" i="16"/>
  <c r="I58" i="16"/>
  <c r="H58" i="16"/>
  <c r="M58" i="16"/>
  <c r="J52" i="16"/>
  <c r="J58" i="16"/>
  <c r="M73" i="16"/>
  <c r="M71" i="16" s="1"/>
  <c r="L58" i="16"/>
  <c r="L73" i="16"/>
  <c r="L71" i="16" s="1"/>
  <c r="K73" i="16"/>
  <c r="K71" i="16" s="1"/>
  <c r="I73" i="16"/>
  <c r="I71" i="16" s="1"/>
  <c r="G73" i="16"/>
  <c r="G71" i="16" s="1"/>
  <c r="J73" i="16"/>
  <c r="J71" i="16" s="1"/>
  <c r="H73" i="16"/>
  <c r="H71" i="16" s="1"/>
  <c r="F73" i="16"/>
  <c r="F71" i="16" s="1"/>
  <c r="L66" i="16"/>
  <c r="L64" i="16" s="1"/>
  <c r="L65" i="16" s="1"/>
  <c r="J66" i="16"/>
  <c r="J64" i="16" s="1"/>
  <c r="G58" i="16"/>
  <c r="I66" i="16"/>
  <c r="I64" i="16" s="1"/>
  <c r="F66" i="16"/>
  <c r="F64" i="16" s="1"/>
  <c r="K58" i="16"/>
  <c r="H66" i="16"/>
  <c r="H64" i="16" s="1"/>
  <c r="G66" i="16"/>
  <c r="G64" i="16" s="1"/>
  <c r="M66" i="16"/>
  <c r="M64" i="16" s="1"/>
  <c r="L33" i="16"/>
  <c r="K33" i="16"/>
  <c r="L38" i="16"/>
  <c r="G38" i="16"/>
  <c r="M33" i="16"/>
  <c r="G33" i="16"/>
  <c r="M38" i="16"/>
  <c r="K38" i="16"/>
  <c r="H38" i="16"/>
  <c r="I33" i="16"/>
  <c r="H33" i="16"/>
  <c r="J38" i="16"/>
  <c r="I38" i="16"/>
  <c r="J33" i="16"/>
  <c r="L52" i="16"/>
  <c r="K52" i="16"/>
  <c r="H47" i="16"/>
  <c r="L49" i="16"/>
  <c r="L47" i="16" s="1"/>
  <c r="J44" i="16"/>
  <c r="J42" i="16" s="1"/>
  <c r="M49" i="16"/>
  <c r="M47" i="16" s="1"/>
  <c r="I47" i="16"/>
  <c r="K49" i="16"/>
  <c r="K47" i="16" s="1"/>
  <c r="M52" i="16"/>
  <c r="J49" i="16"/>
  <c r="J47" i="16" s="1"/>
  <c r="F47" i="16"/>
  <c r="M44" i="16"/>
  <c r="M42" i="16" s="1"/>
  <c r="L44" i="16"/>
  <c r="L42" i="16" s="1"/>
  <c r="K44" i="16"/>
  <c r="K42" i="16" s="1"/>
  <c r="G47" i="16"/>
  <c r="U140" i="16"/>
  <c r="U142" i="16" s="1"/>
  <c r="I54" i="16" s="1"/>
  <c r="I52" i="16" s="1"/>
  <c r="R140" i="16"/>
  <c r="R142" i="16" s="1"/>
  <c r="F54" i="16" s="1"/>
  <c r="F52" i="16" s="1"/>
  <c r="S140" i="16"/>
  <c r="S142" i="16" s="1"/>
  <c r="G54" i="16" s="1"/>
  <c r="G52" i="16" s="1"/>
  <c r="T140" i="16"/>
  <c r="T142" i="16" s="1"/>
  <c r="H54" i="16" s="1"/>
  <c r="H52" i="16" s="1"/>
  <c r="I44" i="16"/>
  <c r="I42" i="16" s="1"/>
  <c r="H44" i="16"/>
  <c r="H42" i="16" s="1"/>
  <c r="G44" i="16"/>
  <c r="G42" i="16" s="1"/>
  <c r="F44" i="16"/>
  <c r="F42" i="16" s="1"/>
  <c r="N7" i="12"/>
  <c r="N9" i="12" s="1"/>
  <c r="J12" i="5"/>
  <c r="O17" i="14"/>
  <c r="O19" i="14" s="1"/>
  <c r="E17" i="14" s="1"/>
  <c r="E19" i="14" s="1"/>
  <c r="F9" i="13" s="1"/>
  <c r="F8" i="13"/>
  <c r="F7" i="13"/>
  <c r="K13" i="9"/>
  <c r="I15" i="5" s="1"/>
  <c r="I16" i="5" s="1"/>
  <c r="E15" i="5"/>
  <c r="E16" i="5" s="1"/>
  <c r="H13" i="9"/>
  <c r="F15" i="5" s="1"/>
  <c r="F16" i="5" s="1"/>
  <c r="I13" i="9"/>
  <c r="G15" i="5" s="1"/>
  <c r="G16" i="5" s="1"/>
  <c r="J13" i="9"/>
  <c r="H15" i="5" s="1"/>
  <c r="H16" i="5" s="1"/>
  <c r="H36" i="9"/>
  <c r="G36" i="9"/>
  <c r="F103" i="9"/>
  <c r="D43" i="11" s="1"/>
  <c r="G44" i="9"/>
  <c r="G51" i="9" s="1"/>
  <c r="I36" i="9"/>
  <c r="J36" i="9"/>
  <c r="L13" i="5" l="1"/>
  <c r="P58" i="16"/>
  <c r="O58" i="16"/>
  <c r="O64" i="16"/>
  <c r="P64" i="16"/>
  <c r="P47" i="16"/>
  <c r="O47" i="16"/>
  <c r="O42" i="16"/>
  <c r="P42" i="16"/>
  <c r="P18" i="16"/>
  <c r="O10" i="16"/>
  <c r="P10" i="16"/>
  <c r="M11" i="16"/>
  <c r="H11" i="16"/>
  <c r="I11" i="16"/>
  <c r="L9" i="5"/>
  <c r="L18" i="5" s="1"/>
  <c r="D6" i="11" s="1"/>
  <c r="D9" i="11"/>
  <c r="L11" i="5"/>
  <c r="D8" i="11"/>
  <c r="J11" i="16"/>
  <c r="G11" i="16"/>
  <c r="L11" i="16"/>
  <c r="M19" i="16"/>
  <c r="M59" i="16"/>
  <c r="K19" i="16"/>
  <c r="L19" i="16"/>
  <c r="H59" i="16"/>
  <c r="K11" i="16"/>
  <c r="J59" i="16"/>
  <c r="I59" i="16"/>
  <c r="K59" i="16"/>
  <c r="K53" i="16"/>
  <c r="M65" i="16"/>
  <c r="L72" i="16"/>
  <c r="H72" i="16"/>
  <c r="M72" i="16"/>
  <c r="J72" i="16"/>
  <c r="G72" i="16"/>
  <c r="I72" i="16"/>
  <c r="K72" i="16"/>
  <c r="I65" i="16"/>
  <c r="G59" i="16"/>
  <c r="J65" i="16"/>
  <c r="G65" i="16"/>
  <c r="H65" i="16"/>
  <c r="K65" i="16"/>
  <c r="L59" i="16"/>
  <c r="H53" i="16"/>
  <c r="I53" i="16"/>
  <c r="I48" i="16"/>
  <c r="K43" i="16"/>
  <c r="L53" i="16"/>
  <c r="G53" i="16"/>
  <c r="G43" i="16"/>
  <c r="M48" i="16"/>
  <c r="H48" i="16"/>
  <c r="M53" i="16"/>
  <c r="J53" i="16"/>
  <c r="J48" i="16"/>
  <c r="K48" i="16"/>
  <c r="G48" i="16"/>
  <c r="L48" i="16"/>
  <c r="M43" i="16"/>
  <c r="I43" i="16"/>
  <c r="H43" i="16"/>
  <c r="L43" i="16"/>
  <c r="J43" i="16"/>
  <c r="D5" i="15"/>
  <c r="D6" i="15" s="1"/>
  <c r="F5" i="13"/>
  <c r="F57" i="9"/>
  <c r="L15" i="5"/>
  <c r="D10" i="11" s="1"/>
  <c r="D11" i="11" s="1"/>
  <c r="N7" i="5"/>
  <c r="M13" i="5"/>
  <c r="M9" i="5"/>
  <c r="E9" i="11" l="1"/>
  <c r="M11" i="5"/>
  <c r="E8" i="11" s="1"/>
  <c r="D12" i="11"/>
  <c r="D21" i="11" s="1"/>
  <c r="F60" i="9"/>
  <c r="F6" i="13" s="1"/>
  <c r="E20" i="15" s="1"/>
  <c r="D7" i="15"/>
  <c r="M18" i="5"/>
  <c r="E6" i="11" s="1"/>
  <c r="M15" i="5"/>
  <c r="E10" i="11" s="1"/>
  <c r="E11" i="11" s="1"/>
  <c r="N9" i="5"/>
  <c r="N15" i="5"/>
  <c r="F10" i="11" s="1"/>
  <c r="O7" i="5"/>
  <c r="N13" i="5"/>
  <c r="F9" i="11" l="1"/>
  <c r="N11" i="5"/>
  <c r="F8" i="11" s="1"/>
  <c r="E12" i="11"/>
  <c r="E21" i="11" s="1"/>
  <c r="D8" i="15"/>
  <c r="E10" i="15"/>
  <c r="E9" i="15"/>
  <c r="E6" i="15"/>
  <c r="F6" i="15" s="1"/>
  <c r="E14" i="15"/>
  <c r="E8" i="15"/>
  <c r="E15" i="15"/>
  <c r="E7" i="15"/>
  <c r="F7" i="15" s="1"/>
  <c r="E5" i="15"/>
  <c r="E12" i="15"/>
  <c r="E11" i="15"/>
  <c r="E13" i="15"/>
  <c r="N18" i="5"/>
  <c r="F6" i="11" s="1"/>
  <c r="F11" i="11"/>
  <c r="P7" i="5"/>
  <c r="O9" i="5"/>
  <c r="O15" i="5"/>
  <c r="G10" i="11" s="1"/>
  <c r="G11" i="11" s="1"/>
  <c r="O13" i="5"/>
  <c r="G9" i="11" l="1"/>
  <c r="O11" i="5"/>
  <c r="G8" i="11" s="1"/>
  <c r="F12" i="11"/>
  <c r="G28" i="11"/>
  <c r="D23" i="11" s="1"/>
  <c r="D9" i="15"/>
  <c r="F8" i="15"/>
  <c r="O18" i="5"/>
  <c r="G6" i="11" s="1"/>
  <c r="F21" i="11"/>
  <c r="Q7" i="5"/>
  <c r="P9" i="5"/>
  <c r="P15" i="5"/>
  <c r="H10" i="11" s="1"/>
  <c r="H11" i="11" s="1"/>
  <c r="P13" i="5"/>
  <c r="H9" i="11" l="1"/>
  <c r="P11" i="5"/>
  <c r="H8" i="11" s="1"/>
  <c r="J23" i="11"/>
  <c r="I23" i="11"/>
  <c r="H23" i="11"/>
  <c r="G23" i="11"/>
  <c r="F23" i="11"/>
  <c r="F25" i="11" s="1"/>
  <c r="E23" i="11"/>
  <c r="E25" i="11" s="1"/>
  <c r="D25" i="11"/>
  <c r="G12" i="11"/>
  <c r="G21" i="11" s="1"/>
  <c r="D10" i="15"/>
  <c r="F9" i="15"/>
  <c r="P18" i="5"/>
  <c r="H6" i="11" s="1"/>
  <c r="R7" i="5"/>
  <c r="Q15" i="5"/>
  <c r="I10" i="11" s="1"/>
  <c r="I11" i="11" s="1"/>
  <c r="Q13" i="5"/>
  <c r="Q9" i="5"/>
  <c r="I9" i="11" l="1"/>
  <c r="Q11" i="5"/>
  <c r="I8" i="11" s="1"/>
  <c r="G25" i="11"/>
  <c r="H12" i="11"/>
  <c r="H21" i="11" s="1"/>
  <c r="H25" i="11" s="1"/>
  <c r="D11" i="15"/>
  <c r="F10" i="15"/>
  <c r="Q18" i="5"/>
  <c r="I6" i="11" s="1"/>
  <c r="R9" i="5"/>
  <c r="R15" i="5"/>
  <c r="J10" i="11" s="1"/>
  <c r="J11" i="11" s="1"/>
  <c r="R13" i="5"/>
  <c r="J9" i="11" l="1"/>
  <c r="R11" i="5"/>
  <c r="J8" i="11" s="1"/>
  <c r="I12" i="11"/>
  <c r="I21" i="11" s="1"/>
  <c r="I25" i="11" s="1"/>
  <c r="D12" i="15"/>
  <c r="F11" i="15"/>
  <c r="R18" i="5"/>
  <c r="J6" i="11" s="1"/>
  <c r="J12" i="11" l="1"/>
  <c r="J21" i="11" s="1"/>
  <c r="G27" i="11" s="1"/>
  <c r="D13" i="15"/>
  <c r="F12" i="15"/>
  <c r="D30" i="11" l="1"/>
  <c r="D31" i="11" s="1"/>
  <c r="J25" i="11"/>
  <c r="D14" i="15"/>
  <c r="F13" i="15"/>
  <c r="D33" i="11" l="1"/>
  <c r="B57" i="11" s="1"/>
  <c r="D15" i="15"/>
  <c r="F14" i="15"/>
  <c r="D41" i="11" l="1"/>
  <c r="D46" i="11" s="1"/>
  <c r="F15" i="15"/>
  <c r="E25" i="15" s="1"/>
  <c r="D16" i="15"/>
  <c r="F27" i="16"/>
  <c r="F25" i="16" s="1"/>
  <c r="G27" i="16"/>
  <c r="G25" i="16" s="1"/>
  <c r="M27" i="16"/>
  <c r="M25" i="16" s="1"/>
  <c r="K27" i="16"/>
  <c r="K25" i="16" s="1"/>
  <c r="I27" i="16"/>
  <c r="I25" i="16" s="1"/>
  <c r="H27" i="16"/>
  <c r="H25" i="16" s="1"/>
  <c r="J27" i="16"/>
  <c r="J25" i="16" s="1"/>
  <c r="L27" i="16"/>
  <c r="L25" i="16" s="1"/>
  <c r="O25" i="16" l="1"/>
  <c r="P25" i="16"/>
  <c r="D50" i="11"/>
  <c r="D52" i="11" s="1"/>
  <c r="K57" i="11" s="1"/>
  <c r="H26" i="16"/>
  <c r="K26" i="16"/>
  <c r="M26" i="16"/>
  <c r="I26" i="16"/>
  <c r="G26" i="16"/>
  <c r="L26" i="16"/>
  <c r="J26" i="16"/>
  <c r="S60" i="23" l="1"/>
  <c r="M14" i="21" l="1"/>
  <c r="N14" i="21"/>
  <c r="O14" i="21"/>
  <c r="M16" i="21"/>
  <c r="N16" i="21"/>
  <c r="O16" i="21"/>
  <c r="M18" i="21"/>
  <c r="N18" i="21"/>
  <c r="O18" i="21"/>
  <c r="M20" i="21"/>
  <c r="N20" i="21"/>
  <c r="O20" i="21"/>
  <c r="M22" i="21"/>
  <c r="N22" i="21"/>
  <c r="O22" i="21"/>
  <c r="M26" i="21"/>
  <c r="N26" i="21"/>
  <c r="O26" i="21"/>
  <c r="M31" i="21"/>
  <c r="N31" i="21"/>
  <c r="O31" i="21"/>
  <c r="M35" i="21"/>
  <c r="N35" i="21"/>
  <c r="O35" i="21"/>
  <c r="M38" i="21"/>
  <c r="N38" i="21"/>
  <c r="O38" i="21"/>
  <c r="M41" i="21"/>
  <c r="N41" i="21"/>
  <c r="O41" i="21"/>
  <c r="M43" i="21"/>
  <c r="N43" i="21"/>
  <c r="O43" i="21"/>
  <c r="S44" i="21"/>
  <c r="T44" i="21"/>
  <c r="U44" i="21"/>
  <c r="V44" i="21"/>
  <c r="W44" i="21"/>
  <c r="M45" i="21"/>
  <c r="N45" i="21"/>
  <c r="O45" i="21"/>
  <c r="R45" i="21"/>
  <c r="S46" i="21"/>
  <c r="T46" i="21"/>
  <c r="U46" i="21"/>
  <c r="V46" i="21"/>
  <c r="W46" i="21"/>
  <c r="M47" i="21"/>
  <c r="N47" i="21"/>
  <c r="O47" i="21"/>
  <c r="R47" i="21"/>
  <c r="M49" i="21"/>
  <c r="N49" i="21"/>
  <c r="O49" i="21"/>
  <c r="M51" i="21"/>
  <c r="N51" i="21"/>
  <c r="O51" i="21"/>
  <c r="M53" i="21"/>
  <c r="N53" i="21"/>
  <c r="O53" i="21"/>
  <c r="M55" i="21"/>
  <c r="N55" i="21"/>
  <c r="O55" i="21"/>
  <c r="M58" i="21"/>
  <c r="N58" i="21"/>
  <c r="O58" i="21"/>
  <c r="M59" i="21"/>
  <c r="N59" i="21"/>
  <c r="O59" i="21"/>
  <c r="S59" i="21"/>
  <c r="T59" i="21"/>
  <c r="U59" i="21"/>
  <c r="V59" i="21"/>
  <c r="W59" i="21"/>
  <c r="M65" i="21"/>
  <c r="N65" i="21"/>
  <c r="O65" i="21"/>
  <c r="M67" i="21"/>
  <c r="N67" i="21"/>
  <c r="O67" i="21"/>
  <c r="M68" i="21"/>
  <c r="N68" i="21"/>
  <c r="O68" i="21"/>
  <c r="S72" i="21"/>
  <c r="T72" i="21"/>
  <c r="U72" i="21"/>
  <c r="V72" i="21"/>
  <c r="W72" i="21"/>
  <c r="M73" i="21"/>
  <c r="N73" i="21"/>
  <c r="O73" i="21"/>
  <c r="S74" i="21"/>
  <c r="T74" i="21"/>
  <c r="U74" i="21"/>
  <c r="V74" i="21"/>
  <c r="W74" i="21"/>
  <c r="M75" i="21"/>
  <c r="N75" i="21"/>
  <c r="O75" i="21"/>
  <c r="M77" i="21"/>
  <c r="N77" i="21"/>
  <c r="O77" i="21"/>
  <c r="M79" i="21"/>
  <c r="N79" i="21"/>
  <c r="O79" i="21"/>
  <c r="M81" i="21"/>
  <c r="N81" i="21"/>
  <c r="O81" i="21"/>
  <c r="S84" i="21"/>
  <c r="T84" i="21"/>
  <c r="U84" i="21"/>
  <c r="V84" i="21"/>
  <c r="W84" i="21"/>
  <c r="M85" i="21"/>
  <c r="N85" i="21"/>
  <c r="O85" i="21"/>
  <c r="S86" i="21"/>
  <c r="T86" i="21"/>
  <c r="U86" i="21"/>
  <c r="V86" i="21"/>
  <c r="W86" i="21"/>
  <c r="M87" i="21"/>
  <c r="N87" i="21"/>
  <c r="O87" i="21"/>
  <c r="M91" i="21"/>
  <c r="N91" i="21"/>
  <c r="O91" i="21"/>
  <c r="M93" i="21"/>
  <c r="N93" i="21"/>
  <c r="O93" i="21"/>
  <c r="M95" i="21"/>
  <c r="N95" i="21"/>
  <c r="O95" i="21"/>
  <c r="M97" i="21"/>
  <c r="N97" i="21"/>
  <c r="O97" i="21"/>
  <c r="M99" i="21"/>
  <c r="N99" i="21"/>
  <c r="O99" i="21"/>
  <c r="M100" i="21"/>
  <c r="N100" i="21"/>
  <c r="O100" i="21"/>
  <c r="M101" i="21"/>
  <c r="N101" i="21"/>
  <c r="O101" i="2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<sst xmlns="http://schemas.openxmlformats.org/spreadsheetml/2006/main" count="1462" uniqueCount="821">
  <si>
    <t>Consolidated Balance Sheet</t>
  </si>
  <si>
    <t>Particulars</t>
  </si>
  <si>
    <t>ASSETS</t>
  </si>
  <si>
    <t>property ,plant and equipment</t>
  </si>
  <si>
    <t>capital work in progress</t>
  </si>
  <si>
    <t>investment property</t>
  </si>
  <si>
    <t>Goodwill</t>
  </si>
  <si>
    <t>Other intangible assets</t>
  </si>
  <si>
    <t xml:space="preserve">Intangible assets under development </t>
  </si>
  <si>
    <t xml:space="preserve">Investment in joint venture </t>
  </si>
  <si>
    <t xml:space="preserve">Financial assets </t>
  </si>
  <si>
    <t xml:space="preserve">other investment </t>
  </si>
  <si>
    <t>others</t>
  </si>
  <si>
    <t>deferred tax assets (net)</t>
  </si>
  <si>
    <t>Non-current Tax assets (net)</t>
  </si>
  <si>
    <t>Other non-current assests</t>
  </si>
  <si>
    <t>Total non-current assets</t>
  </si>
  <si>
    <t>Current assets</t>
  </si>
  <si>
    <t xml:space="preserve">Inventories </t>
  </si>
  <si>
    <t>Financial assets</t>
  </si>
  <si>
    <t>Investment</t>
  </si>
  <si>
    <t xml:space="preserve">Trade Receivable </t>
  </si>
  <si>
    <t>Cash and cash equivalent</t>
  </si>
  <si>
    <t>Bank Balance other than (iii) above</t>
  </si>
  <si>
    <t>Others</t>
  </si>
  <si>
    <t>Current Tax Assets (net)</t>
  </si>
  <si>
    <t>Other Current assets</t>
  </si>
  <si>
    <t>Total Current assets</t>
  </si>
  <si>
    <t>Total assets</t>
  </si>
  <si>
    <t>EQUITY AND LIABILITY</t>
  </si>
  <si>
    <t>Equity</t>
  </si>
  <si>
    <t xml:space="preserve">Equity share capital </t>
  </si>
  <si>
    <t>Other equity</t>
  </si>
  <si>
    <t>equity attributable to shareholders of the Holding company</t>
  </si>
  <si>
    <t>Non controlling Interest</t>
  </si>
  <si>
    <t>total equity</t>
  </si>
  <si>
    <t>Liabilties</t>
  </si>
  <si>
    <t>Non-current lliabilities</t>
  </si>
  <si>
    <t>Financial liabilities</t>
  </si>
  <si>
    <t>Borrowings</t>
  </si>
  <si>
    <t>Lease Liabiilities</t>
  </si>
  <si>
    <t>Other financial liabilities</t>
  </si>
  <si>
    <t>Provisions</t>
  </si>
  <si>
    <t>Deferred tax liabilities(net)</t>
  </si>
  <si>
    <t xml:space="preserve">Total non-current liabilities </t>
  </si>
  <si>
    <t>Material and other accounting policies</t>
  </si>
  <si>
    <t>Notes</t>
  </si>
  <si>
    <t>Current liabilities</t>
  </si>
  <si>
    <t>borrowings</t>
  </si>
  <si>
    <t>trade payables</t>
  </si>
  <si>
    <t>due to micro and small enterprises</t>
  </si>
  <si>
    <t xml:space="preserve">due to others </t>
  </si>
  <si>
    <t>other current liabilities</t>
  </si>
  <si>
    <t>current tax liabilities (net)</t>
  </si>
  <si>
    <t>TOTAL current liabilities</t>
  </si>
  <si>
    <t>Total Liabilities</t>
  </si>
  <si>
    <t>Total equity and liabilities</t>
  </si>
  <si>
    <t>a)</t>
  </si>
  <si>
    <t>b)</t>
  </si>
  <si>
    <t>c)</t>
  </si>
  <si>
    <t>d)</t>
  </si>
  <si>
    <t>e)</t>
  </si>
  <si>
    <t>f)</t>
  </si>
  <si>
    <t>g)</t>
  </si>
  <si>
    <t>h)</t>
  </si>
  <si>
    <t>(i)</t>
  </si>
  <si>
    <t>(ii)</t>
  </si>
  <si>
    <t>i)</t>
  </si>
  <si>
    <t>k)</t>
  </si>
  <si>
    <t>(iii)</t>
  </si>
  <si>
    <t>(iv)</t>
  </si>
  <si>
    <t>(v)</t>
  </si>
  <si>
    <t>Non-current asssets</t>
  </si>
  <si>
    <t>Income</t>
  </si>
  <si>
    <t>Revenue from operations</t>
  </si>
  <si>
    <t xml:space="preserve">Other Income </t>
  </si>
  <si>
    <t>Total Income</t>
  </si>
  <si>
    <t>Expenses</t>
  </si>
  <si>
    <t>Cost of material consumed</t>
  </si>
  <si>
    <t xml:space="preserve">Purchase of stock in trade </t>
  </si>
  <si>
    <t>change in inventories in finished goods, stock in trade and work in progress</t>
  </si>
  <si>
    <t>Employee benefit expenses</t>
  </si>
  <si>
    <t xml:space="preserve">Finance cost </t>
  </si>
  <si>
    <t>other expenses</t>
  </si>
  <si>
    <t xml:space="preserve">advertisement and publicity </t>
  </si>
  <si>
    <t xml:space="preserve">Others </t>
  </si>
  <si>
    <t>Total expenses</t>
  </si>
  <si>
    <t>profit before share of loss from joint venture , exceptional items and tax</t>
  </si>
  <si>
    <t xml:space="preserve">Share of loss of joint venture </t>
  </si>
  <si>
    <t>profit before exceptional item and tax</t>
  </si>
  <si>
    <t>exceptional items</t>
  </si>
  <si>
    <t>Profit before tax</t>
  </si>
  <si>
    <t>Tax expenses</t>
  </si>
  <si>
    <t>Defrred tax</t>
  </si>
  <si>
    <t>Current tax</t>
  </si>
  <si>
    <t>Total tax Expense</t>
  </si>
  <si>
    <t xml:space="preserve">Net profit for the year </t>
  </si>
  <si>
    <t>Other comprensive Income</t>
  </si>
  <si>
    <t>A</t>
  </si>
  <si>
    <t>B</t>
  </si>
  <si>
    <t>Income tax relating to items that will not be reclassified to profit or loss</t>
  </si>
  <si>
    <t>Income tax relating to items that will be reclassified to profit or loss</t>
  </si>
  <si>
    <t>items that wil be reclassified to profit and loss</t>
  </si>
  <si>
    <t>items that wil not be reclassified to profit and loss</t>
  </si>
  <si>
    <t>Total Other comprehensive income</t>
  </si>
  <si>
    <t>Total comprehensive income for the year</t>
  </si>
  <si>
    <t>Net profit attribute to:</t>
  </si>
  <si>
    <t>owner of the holding company</t>
  </si>
  <si>
    <t xml:space="preserve">Non-controlling interest </t>
  </si>
  <si>
    <t>Total comprehensive income attribute to :</t>
  </si>
  <si>
    <t xml:space="preserve">Material and other accounting policies </t>
  </si>
  <si>
    <t>Other comprehensive income attribute to :</t>
  </si>
  <si>
    <t>Particular</t>
  </si>
  <si>
    <t>For the year ended 31 march 2025</t>
  </si>
  <si>
    <t>CASH FLOW FROM OPERATING ACTIVITIES</t>
  </si>
  <si>
    <t>profit before Tax</t>
  </si>
  <si>
    <t>Adjustment for :</t>
  </si>
  <si>
    <t>depriciation and amortisation expenses</t>
  </si>
  <si>
    <t>Loss/gain on the disposal of property , plant and equipment(net)</t>
  </si>
  <si>
    <t xml:space="preserve">Shared based payment expenses </t>
  </si>
  <si>
    <t>Provision for disputed liability</t>
  </si>
  <si>
    <t>Expected credit loss/impairment of financial and non-financial assets</t>
  </si>
  <si>
    <t>provision for employee benefits</t>
  </si>
  <si>
    <t>unrealised foreign exchange loss/(gain)(net)</t>
  </si>
  <si>
    <t>interest incomes</t>
  </si>
  <si>
    <t>Share of loss of joint venture</t>
  </si>
  <si>
    <t>(gain)/loss on the fair value if financial instrument (net)</t>
  </si>
  <si>
    <t>Effect of exchange rates on translation of operating cashflows</t>
  </si>
  <si>
    <t>Operating Profit before working capital chages and other adjustments</t>
  </si>
  <si>
    <t>Working capital changes and other adjustments:</t>
  </si>
  <si>
    <t>Inventories</t>
  </si>
  <si>
    <t xml:space="preserve">Trade receivable </t>
  </si>
  <si>
    <t>curernt and Non- Current financial assets</t>
  </si>
  <si>
    <t>Other current and non-current assets</t>
  </si>
  <si>
    <t xml:space="preserve">Trade payable </t>
  </si>
  <si>
    <t>other current and non-current financial liabilities</t>
  </si>
  <si>
    <t>Other current liabilities anf Provisions</t>
  </si>
  <si>
    <t xml:space="preserve">Cash Flow from operating activities post working capital changes </t>
  </si>
  <si>
    <t>Direct taxes paid(net of refund)</t>
  </si>
  <si>
    <t>Net cash flow from operating activities (A)</t>
  </si>
  <si>
    <t>CASH FLOW FROM INVESTING ACTIVITIES</t>
  </si>
  <si>
    <t>Acquisition of property , plant and equipment , capital work in progress and intangible assets</t>
  </si>
  <si>
    <t xml:space="preserve">Prceeds from diaposal of property ,plant and equipment </t>
  </si>
  <si>
    <t>Proceeds from sales / redemption of Investment /bank deposits</t>
  </si>
  <si>
    <t>interest Received</t>
  </si>
  <si>
    <t>Net Cash used in Investing activities (B)</t>
  </si>
  <si>
    <t>C</t>
  </si>
  <si>
    <t>CASH FLOW FROM FINANCING ACTIVITIES</t>
  </si>
  <si>
    <t>Proceeds from issue of Equity share capital</t>
  </si>
  <si>
    <t>Repayment of the non-current borrowing (including current maturity0</t>
  </si>
  <si>
    <t>Proceeds of the non-current borrowing</t>
  </si>
  <si>
    <t>Repayment of current borrowing</t>
  </si>
  <si>
    <t>Proceeds from current borrowing</t>
  </si>
  <si>
    <t xml:space="preserve">principal payment of lease liabilitiees </t>
  </si>
  <si>
    <t>Interest Payment of lease liabilities</t>
  </si>
  <si>
    <t>Dividend Paid</t>
  </si>
  <si>
    <t>Finance costs paid</t>
  </si>
  <si>
    <t>Net cash Used in financing activities ©</t>
  </si>
  <si>
    <t>Increase/decrease in cash and cash equivalent (A+B+C)</t>
  </si>
  <si>
    <t>Cash and Cash equivalent at the beginning of the year</t>
  </si>
  <si>
    <t>Impact of changes in exchange rates.</t>
  </si>
  <si>
    <t>Cash and cash equivalent at the end of the year</t>
  </si>
  <si>
    <t>Note:</t>
  </si>
  <si>
    <t>Cash and cash equivalent (as per note 15 to the fiancial statement )</t>
  </si>
  <si>
    <t>Balances with bank in over draft accounts (refers note 27)</t>
  </si>
  <si>
    <t>Balances with bank in cash credit accounts (refers note 27)</t>
  </si>
  <si>
    <t>Cash and Cash equivalent as per Consolidated Statement of the  Cash Flow</t>
  </si>
  <si>
    <t xml:space="preserve">Consolidated Statement of Change of Equity </t>
  </si>
  <si>
    <t xml:space="preserve">Equity Share Capital </t>
  </si>
  <si>
    <t>Number of Shares</t>
  </si>
  <si>
    <t>Amount</t>
  </si>
  <si>
    <t>Balance as at 01 April 2023</t>
  </si>
  <si>
    <t>Issued during the year</t>
  </si>
  <si>
    <t>Balance as at 31 March 2024</t>
  </si>
  <si>
    <t>Balance as at 01 April 2024</t>
  </si>
  <si>
    <t>Balance as at 31 March 2025</t>
  </si>
  <si>
    <t>Refer note 20</t>
  </si>
  <si>
    <t>B.</t>
  </si>
  <si>
    <t>Other Equity</t>
  </si>
  <si>
    <t>Attributable to Owner of the Holding Company</t>
  </si>
  <si>
    <t>Reserves and Surplus</t>
  </si>
  <si>
    <t>capital reserve</t>
  </si>
  <si>
    <t>Securites Premium</t>
  </si>
  <si>
    <t>Statutory Reserve</t>
  </si>
  <si>
    <t>Special fund</t>
  </si>
  <si>
    <t>Employee housing reserve</t>
  </si>
  <si>
    <t>Share option outstanding account</t>
  </si>
  <si>
    <t>General reserve</t>
  </si>
  <si>
    <t>Inflationary Reserve</t>
  </si>
  <si>
    <t>Retained earning</t>
  </si>
  <si>
    <t>debt instrument through OCI</t>
  </si>
  <si>
    <t>Foreign currency translation reserve</t>
  </si>
  <si>
    <t>Profit for the year</t>
  </si>
  <si>
    <t>Other comprehensive income for the year</t>
  </si>
  <si>
    <t>Other comprehensive</t>
  </si>
  <si>
    <t>income (OCI)</t>
  </si>
  <si>
    <t xml:space="preserve">total </t>
  </si>
  <si>
    <t>attributable</t>
  </si>
  <si>
    <t>to owner</t>
  </si>
  <si>
    <t>ot the Holding Company</t>
  </si>
  <si>
    <t>Attributable</t>
  </si>
  <si>
    <t>to non-</t>
  </si>
  <si>
    <t>controlling</t>
  </si>
  <si>
    <t>Interest</t>
  </si>
  <si>
    <t>Total</t>
  </si>
  <si>
    <t>Re-Measurment loss on defined benefit plans(net of tax of (1.05)crores)</t>
  </si>
  <si>
    <t>Net fair value loss on investment measured through OCI (net of tax of 11.09 crores)</t>
  </si>
  <si>
    <t>Movement in forign currency translation reserve during the year</t>
  </si>
  <si>
    <t>total comprehensive income for the year</t>
  </si>
  <si>
    <t>Recognition of share based payment expenses</t>
  </si>
  <si>
    <t>transfer from share optiom outstanding account on the exercises of options</t>
  </si>
  <si>
    <t xml:space="preserve">transaction with owners in their capacity as Owners </t>
  </si>
  <si>
    <t>Dividend (refer note 46)</t>
  </si>
  <si>
    <t>Hyperinflation Adjustment (refer note 68)</t>
  </si>
  <si>
    <t>Adjustment for amalgamnation adjystment account</t>
  </si>
  <si>
    <t>Balnce as at 31 march 2024</t>
  </si>
  <si>
    <t>-</t>
  </si>
  <si>
    <t>Dabur India</t>
  </si>
  <si>
    <t>Historical Data</t>
  </si>
  <si>
    <t>Dabur India ltd.</t>
  </si>
  <si>
    <t>Sales</t>
  </si>
  <si>
    <t>FY- 2021</t>
  </si>
  <si>
    <t>FY - 2022</t>
  </si>
  <si>
    <t>FY- 2023</t>
  </si>
  <si>
    <t>FY- 2024</t>
  </si>
  <si>
    <t>FY - 2025</t>
  </si>
  <si>
    <t>Depriciation</t>
  </si>
  <si>
    <t>Capital Expenditure</t>
  </si>
  <si>
    <t>Tax rate</t>
  </si>
  <si>
    <t>Previous Years �</t>
  </si>
  <si>
    <t>Consolidated Profit &amp; Loss account</t>
  </si>
  <si>
    <t>------------------- in Rs. Cr. -------------------</t>
  </si>
  <si>
    <t>Mar '25</t>
  </si>
  <si>
    <t>Mar '24</t>
  </si>
  <si>
    <t>Mar '23</t>
  </si>
  <si>
    <t>Mar '22</t>
  </si>
  <si>
    <t>Mar '21</t>
  </si>
  <si>
    <t>12 mths</t>
  </si>
  <si>
    <t>Sales Turnover</t>
  </si>
  <si>
    <t>Excise Duty</t>
  </si>
  <si>
    <t>Net Sales</t>
  </si>
  <si>
    <t>Other Income</t>
  </si>
  <si>
    <t>Stock Adjustments</t>
  </si>
  <si>
    <t>Expenditure</t>
  </si>
  <si>
    <t>Raw Materials</t>
  </si>
  <si>
    <t>Power &amp; Fuel Cost</t>
  </si>
  <si>
    <t>Employee Cost</t>
  </si>
  <si>
    <t>Selling and Admin Expenses</t>
  </si>
  <si>
    <t>Miscellaneous Expenses</t>
  </si>
  <si>
    <t>Total Expenses</t>
  </si>
  <si>
    <t>Operating Profit</t>
  </si>
  <si>
    <t>PBDIT</t>
  </si>
  <si>
    <t>PBDT</t>
  </si>
  <si>
    <t>Depreciation</t>
  </si>
  <si>
    <t>Profit Before Tax</t>
  </si>
  <si>
    <t>PBT (Post Extra-ord Items)</t>
  </si>
  <si>
    <t>Tax</t>
  </si>
  <si>
    <t>Reported Net Profit</t>
  </si>
  <si>
    <t>Share Of P/L Of Associates</t>
  </si>
  <si>
    <t>Net P/L After Minority Interest &amp; Share Of Associates</t>
  </si>
  <si>
    <t>Total Value Addition</t>
  </si>
  <si>
    <t>Equity Dividend</t>
  </si>
  <si>
    <t>Per share data (annualised)</t>
  </si>
  <si>
    <t>Shares in issue (lakhs)</t>
  </si>
  <si>
    <t>Earning Per Share (Rs)</t>
  </si>
  <si>
    <t>Book Value (Rs)</t>
  </si>
  <si>
    <t>Sources Of Funds</t>
  </si>
  <si>
    <t>Total Share Capital</t>
  </si>
  <si>
    <t>Equity Share Capital</t>
  </si>
  <si>
    <t>Employee Stock Opiton</t>
  </si>
  <si>
    <t>Reserves</t>
  </si>
  <si>
    <t>Networth</t>
  </si>
  <si>
    <t>Secured Loans</t>
  </si>
  <si>
    <t>Total Debt</t>
  </si>
  <si>
    <t>Minority Interest</t>
  </si>
  <si>
    <t>Application Of Funds</t>
  </si>
  <si>
    <t>Gross Block</t>
  </si>
  <si>
    <t>Less: Accum. Depreciation</t>
  </si>
  <si>
    <t>Net Block</t>
  </si>
  <si>
    <t>Capital Work in Progress</t>
  </si>
  <si>
    <t>Investments</t>
  </si>
  <si>
    <t>Sundry Debtors</t>
  </si>
  <si>
    <t>Cash and Bank Balance</t>
  </si>
  <si>
    <t>Total Current Assets</t>
  </si>
  <si>
    <t>Loans and Advances</t>
  </si>
  <si>
    <t>Total CA, Loans &amp; Advances</t>
  </si>
  <si>
    <t>Current Liabilities</t>
  </si>
  <si>
    <t>Total CL &amp; Provisions</t>
  </si>
  <si>
    <t>Net Current Assets</t>
  </si>
  <si>
    <t>Total Assets</t>
  </si>
  <si>
    <t>Contingent Liabilities</t>
  </si>
  <si>
    <t>Consolidated Cash Flow</t>
  </si>
  <si>
    <t>Net Profit Before Tax</t>
  </si>
  <si>
    <t>Net Cash From Operating Activities</t>
  </si>
  <si>
    <t>Net Cash (used in)/from</t>
  </si>
  <si>
    <t>Investing Activities</t>
  </si>
  <si>
    <t>Net Cash (used in)/from Financing Activities</t>
  </si>
  <si>
    <t>Net (decrease)/increase In Cash and Cash Equivalents</t>
  </si>
  <si>
    <t>Opening Cash &amp; Cash Equivalents</t>
  </si>
  <si>
    <t>Closing Cash &amp; Cash Equivalents</t>
  </si>
  <si>
    <r>
      <t>Cash from Operating Activity </t>
    </r>
    <r>
      <rPr>
        <sz val="12"/>
        <color rgb="FF665EFD"/>
        <rFont val="Arial"/>
        <family val="2"/>
      </rPr>
      <t>-</t>
    </r>
  </si>
  <si>
    <t>Profit from operations</t>
  </si>
  <si>
    <t>Receivables</t>
  </si>
  <si>
    <t>Inventory</t>
  </si>
  <si>
    <t>Payables</t>
  </si>
  <si>
    <t>Other WC items</t>
  </si>
  <si>
    <t>Working capital changes</t>
  </si>
  <si>
    <t>Direct taxes</t>
  </si>
  <si>
    <r>
      <t>Cash from Investing Activity </t>
    </r>
    <r>
      <rPr>
        <sz val="12"/>
        <color rgb="FF665EFD"/>
        <rFont val="Arial"/>
        <family val="2"/>
      </rPr>
      <t>-</t>
    </r>
  </si>
  <si>
    <t>Fixed assets purchased</t>
  </si>
  <si>
    <t>Fixed assets sold</t>
  </si>
  <si>
    <t>Investments purchased</t>
  </si>
  <si>
    <t>Investments sold</t>
  </si>
  <si>
    <t>Interest received</t>
  </si>
  <si>
    <t>Invest in subsidiaries</t>
  </si>
  <si>
    <t>Other investing items</t>
  </si>
  <si>
    <r>
      <t>Cash from Financing Activity </t>
    </r>
    <r>
      <rPr>
        <sz val="12"/>
        <color rgb="FF665EFD"/>
        <rFont val="Arial"/>
        <family val="2"/>
      </rPr>
      <t>-</t>
    </r>
  </si>
  <si>
    <t>Proceeds from shares</t>
  </si>
  <si>
    <t>Proceeds from borrowings</t>
  </si>
  <si>
    <t>Repayment of borrowings</t>
  </si>
  <si>
    <t>Interest paid fin</t>
  </si>
  <si>
    <t>Dividends paid</t>
  </si>
  <si>
    <t>Other financing items</t>
  </si>
  <si>
    <t>Net Cash Flow</t>
  </si>
  <si>
    <t>Trade  receivable</t>
  </si>
  <si>
    <t>Other operating current assets</t>
  </si>
  <si>
    <t>Net Payable</t>
  </si>
  <si>
    <t>Other Operating Liabilities</t>
  </si>
  <si>
    <t>Advance from customer</t>
  </si>
  <si>
    <t>Other current liabilities</t>
  </si>
  <si>
    <t xml:space="preserve">working capital number  </t>
  </si>
  <si>
    <t>Growth Rate</t>
  </si>
  <si>
    <t>EBIDTA</t>
  </si>
  <si>
    <t>Earning before interest and Tax</t>
  </si>
  <si>
    <t>Profit before Tax</t>
  </si>
  <si>
    <t>Profit after Tax</t>
  </si>
  <si>
    <t>Tax @ 23%</t>
  </si>
  <si>
    <t>=</t>
  </si>
  <si>
    <t>Dep % of sales</t>
  </si>
  <si>
    <t>Capex % of sales</t>
  </si>
  <si>
    <t>NWC % of sales</t>
  </si>
  <si>
    <t>FY - 2026</t>
  </si>
  <si>
    <t>FY- 2027</t>
  </si>
  <si>
    <t>FY- 2028</t>
  </si>
  <si>
    <t>FY - 2029</t>
  </si>
  <si>
    <t>FY - 2030</t>
  </si>
  <si>
    <t>FY- 2031</t>
  </si>
  <si>
    <t>FY- 2032</t>
  </si>
  <si>
    <t>EBIT Margin</t>
  </si>
  <si>
    <t>NOPAT</t>
  </si>
  <si>
    <t>Forecasted Data</t>
  </si>
  <si>
    <t>FCFF</t>
  </si>
  <si>
    <t>FCFF (Free Cash Flow to the firm)</t>
  </si>
  <si>
    <t>Capex</t>
  </si>
  <si>
    <t>Discounted Cash Flow Valuation Sheet</t>
  </si>
  <si>
    <t>WACC</t>
  </si>
  <si>
    <t xml:space="preserve">WACC Calculation Sheet </t>
  </si>
  <si>
    <t>E</t>
  </si>
  <si>
    <t>D</t>
  </si>
  <si>
    <t>V</t>
  </si>
  <si>
    <t>Tc</t>
  </si>
  <si>
    <t>Market value of Firm's Equity</t>
  </si>
  <si>
    <t>Market Value of Firm's Debt</t>
  </si>
  <si>
    <t>E+D</t>
  </si>
  <si>
    <t>Cost of Equity</t>
  </si>
  <si>
    <t>Cost of Debt</t>
  </si>
  <si>
    <t>Corporate Tax</t>
  </si>
  <si>
    <t>w</t>
  </si>
  <si>
    <t>Rf</t>
  </si>
  <si>
    <t>Beta</t>
  </si>
  <si>
    <t>Market rate of return</t>
  </si>
  <si>
    <t>Risk free rate of return</t>
  </si>
  <si>
    <t>Working capital number = (Trade Recievable + Inventory + Other operating current assssets) - (Net payable + Other operating  Liabilites)</t>
  </si>
  <si>
    <t>Beta Calculation</t>
  </si>
  <si>
    <t>Date </t>
  </si>
  <si>
    <t xml:space="preserve">Nifty 50 </t>
  </si>
  <si>
    <t>Dabur</t>
  </si>
  <si>
    <t>% of dabur</t>
  </si>
  <si>
    <t>% of Nifty 50</t>
  </si>
  <si>
    <t>Standard daviation of Dabur</t>
  </si>
  <si>
    <t>Standard daviation of Nifty 50</t>
  </si>
  <si>
    <t>Correlation of nifty 50 and dabur</t>
  </si>
  <si>
    <t>BETA</t>
  </si>
  <si>
    <t>Method 1</t>
  </si>
  <si>
    <t>Method 2</t>
  </si>
  <si>
    <t>Correlation* (Std of Dabur / Std of Nifty 50)</t>
  </si>
  <si>
    <t>Slope formula</t>
  </si>
  <si>
    <t>Rf+Beta(Market rate of return -Risk free rate of return)</t>
  </si>
  <si>
    <t>current market price X Total Outstanding shares</t>
  </si>
  <si>
    <t>Interest/total Debt*(1-TC)</t>
  </si>
  <si>
    <t>Tax Rate</t>
  </si>
  <si>
    <t>NO.</t>
  </si>
  <si>
    <t>Discount Factor</t>
  </si>
  <si>
    <t>Present value of FCFF</t>
  </si>
  <si>
    <t>Terminal Value</t>
  </si>
  <si>
    <t>Enterprises value (EV)</t>
  </si>
  <si>
    <t>Equity Value Sheet</t>
  </si>
  <si>
    <t>Enterprise Value (DCF)</t>
  </si>
  <si>
    <t>+ Cash and Cash Equivalent</t>
  </si>
  <si>
    <t>-Minority Interest</t>
  </si>
  <si>
    <t>Other Adjustment</t>
  </si>
  <si>
    <t>Equity Value</t>
  </si>
  <si>
    <t xml:space="preserve"> NWC (Net Working Capital)</t>
  </si>
  <si>
    <t>Change In NWC</t>
  </si>
  <si>
    <t>Per Share Value</t>
  </si>
  <si>
    <t>No of outstanding shares</t>
  </si>
  <si>
    <t>Other Investment</t>
  </si>
  <si>
    <t>Discounted Terminal value</t>
  </si>
  <si>
    <t>Investment in Joint Venture</t>
  </si>
  <si>
    <t>Net Debt</t>
  </si>
  <si>
    <t xml:space="preserve">Short tem debt + long term debt - cash and cash equivalent- Liquidable Investment </t>
  </si>
  <si>
    <t xml:space="preserve">Short term Debt </t>
  </si>
  <si>
    <t xml:space="preserve">Long term debt </t>
  </si>
  <si>
    <t xml:space="preserve">Liquidable Investment </t>
  </si>
  <si>
    <t>Mutual Fund</t>
  </si>
  <si>
    <t>Government Loan</t>
  </si>
  <si>
    <t>Lease Liability</t>
  </si>
  <si>
    <t>Investment in Bonds</t>
  </si>
  <si>
    <t>Bonds</t>
  </si>
  <si>
    <t>Treasury Bill</t>
  </si>
  <si>
    <t>Investment in Target Maturity</t>
  </si>
  <si>
    <t xml:space="preserve">Total </t>
  </si>
  <si>
    <t xml:space="preserve">-Net Debts </t>
  </si>
  <si>
    <t xml:space="preserve">other Current Assets </t>
  </si>
  <si>
    <t xml:space="preserve">Sensitivity Analysis Sheet </t>
  </si>
  <si>
    <t>Intrinsic value per share</t>
  </si>
  <si>
    <t>Terminal Growth Rate</t>
  </si>
  <si>
    <t>All Inputs and Assumption</t>
  </si>
  <si>
    <t xml:space="preserve">Cost of Equity </t>
  </si>
  <si>
    <t>Latest Dividend Per Share</t>
  </si>
  <si>
    <t>Payout Ratio</t>
  </si>
  <si>
    <t>Expected Long term Growth Rate</t>
  </si>
  <si>
    <t>Market Price Per Share</t>
  </si>
  <si>
    <t xml:space="preserve">Dividend per share </t>
  </si>
  <si>
    <t>Total Dividend issued</t>
  </si>
  <si>
    <t>Total Share</t>
  </si>
  <si>
    <t>DPS</t>
  </si>
  <si>
    <t>Earning per share</t>
  </si>
  <si>
    <t>Dividend per share</t>
  </si>
  <si>
    <t>Payout ratio</t>
  </si>
  <si>
    <t>Retention Ratio</t>
  </si>
  <si>
    <t>ROE</t>
  </si>
  <si>
    <t xml:space="preserve">Dividend Growth Rate </t>
  </si>
  <si>
    <t xml:space="preserve">Net Income </t>
  </si>
  <si>
    <t xml:space="preserve">Gowth Rate </t>
  </si>
  <si>
    <t>Equity Risk Premium</t>
  </si>
  <si>
    <t>Forecasting Dividend</t>
  </si>
  <si>
    <t>Year</t>
  </si>
  <si>
    <t>Year no.</t>
  </si>
  <si>
    <t>Dividend</t>
  </si>
  <si>
    <t>PV facor</t>
  </si>
  <si>
    <t>Present Value of Dividend</t>
  </si>
  <si>
    <t>Terminal Value (at Year 10)</t>
  </si>
  <si>
    <t>Dividend of 11th year</t>
  </si>
  <si>
    <t xml:space="preserve">Growth rate </t>
  </si>
  <si>
    <t>TV</t>
  </si>
  <si>
    <t>PV of TV</t>
  </si>
  <si>
    <t xml:space="preserve">Value of Equity </t>
  </si>
  <si>
    <t>Calculations For Dividend Distribution Modal</t>
  </si>
  <si>
    <t>No.</t>
  </si>
  <si>
    <t>Ratios Analysis</t>
  </si>
  <si>
    <t>Liquidity Ratios</t>
  </si>
  <si>
    <t>Profitability Ratios</t>
  </si>
  <si>
    <t>Solvency Ratios</t>
  </si>
  <si>
    <t>Turnover ratios</t>
  </si>
  <si>
    <t>Earning / Valuation Ratios</t>
  </si>
  <si>
    <t>Current Ratio</t>
  </si>
  <si>
    <t>Cash Ratio</t>
  </si>
  <si>
    <t>Gross Profit ratio</t>
  </si>
  <si>
    <t>Net profit ratio</t>
  </si>
  <si>
    <t>Opeating Profit Ratio</t>
  </si>
  <si>
    <t>Return on Capital Employed</t>
  </si>
  <si>
    <t>Return on Equity Ratio</t>
  </si>
  <si>
    <t>Return on Assets Ratio</t>
  </si>
  <si>
    <t xml:space="preserve">Debt To Equity </t>
  </si>
  <si>
    <t xml:space="preserve">Debt to Assets </t>
  </si>
  <si>
    <t>Debt Service Coverage Ratio</t>
  </si>
  <si>
    <t>Interest Coverage Ratio</t>
  </si>
  <si>
    <t>Fixed Assets Turnover Ratio</t>
  </si>
  <si>
    <t>Inventory Turnover Ratio</t>
  </si>
  <si>
    <t>Recievable Turnover Ratio</t>
  </si>
  <si>
    <t>Working Capital Turnover Ratio</t>
  </si>
  <si>
    <t>Cash Coversion Cycle Ratio</t>
  </si>
  <si>
    <t>P/E Ratio</t>
  </si>
  <si>
    <t>Earning per Ratio</t>
  </si>
  <si>
    <t>Dividend Yield Ratio</t>
  </si>
  <si>
    <t>Dividend Payout Ratio</t>
  </si>
  <si>
    <t>Current Assets</t>
  </si>
  <si>
    <t xml:space="preserve">Current liability </t>
  </si>
  <si>
    <t>Quick Ratio</t>
  </si>
  <si>
    <t>Quick Assets</t>
  </si>
  <si>
    <t>Prepaid Expenses</t>
  </si>
  <si>
    <t xml:space="preserve">Cash and Cash Equivalent </t>
  </si>
  <si>
    <t xml:space="preserve">Gross Profit </t>
  </si>
  <si>
    <t>Total Revenue</t>
  </si>
  <si>
    <t xml:space="preserve">Net Profit </t>
  </si>
  <si>
    <t>EBIT</t>
  </si>
  <si>
    <t>Capital Employed</t>
  </si>
  <si>
    <t>Net Income</t>
  </si>
  <si>
    <t>Shareholder Equity</t>
  </si>
  <si>
    <t xml:space="preserve">EBIT </t>
  </si>
  <si>
    <t>Interest Expenses</t>
  </si>
  <si>
    <t>Av. Fixed Assets</t>
  </si>
  <si>
    <t>COGS</t>
  </si>
  <si>
    <t>Av. Inventory</t>
  </si>
  <si>
    <t xml:space="preserve">Opening Inventory </t>
  </si>
  <si>
    <t>Closing Inventory</t>
  </si>
  <si>
    <t>Credit Sales</t>
  </si>
  <si>
    <t>Av. Account Receivable</t>
  </si>
  <si>
    <t>Opening Debtor</t>
  </si>
  <si>
    <t>Closing Debtor</t>
  </si>
  <si>
    <t xml:space="preserve">MPS </t>
  </si>
  <si>
    <t>EPS</t>
  </si>
  <si>
    <t xml:space="preserve">Dividend Issue </t>
  </si>
  <si>
    <t>PAT</t>
  </si>
  <si>
    <t>Total Dividend</t>
  </si>
  <si>
    <t>O/S Shares</t>
  </si>
  <si>
    <t xml:space="preserve">Revenue </t>
  </si>
  <si>
    <t>ShareHolder Fund</t>
  </si>
  <si>
    <t>Equity Capital</t>
  </si>
  <si>
    <t>Reserve</t>
  </si>
  <si>
    <t>Long term Liability</t>
  </si>
  <si>
    <t>Opening Assets</t>
  </si>
  <si>
    <t>Closing Assets</t>
  </si>
  <si>
    <t>Total Average Assets</t>
  </si>
  <si>
    <t>total Avg. Assets</t>
  </si>
  <si>
    <t>EBT</t>
  </si>
  <si>
    <t xml:space="preserve">Ratios   Name </t>
  </si>
  <si>
    <t xml:space="preserve">Growth Rate </t>
  </si>
  <si>
    <t>Short Term Debt</t>
  </si>
  <si>
    <t>Total Average Fixed Assets</t>
  </si>
  <si>
    <t>payment Received From Debtor</t>
  </si>
  <si>
    <t>Closing Debtors</t>
  </si>
  <si>
    <t>Opening Debtors</t>
  </si>
  <si>
    <t>Growth Rate/Measures</t>
  </si>
  <si>
    <t>Kd</t>
  </si>
  <si>
    <t>Ke</t>
  </si>
  <si>
    <t>(E/V*Ke)+(D/V*Kd*(1-TC)</t>
  </si>
  <si>
    <t>Assumptions</t>
  </si>
  <si>
    <t xml:space="preserve">EBIT should be the margins of the sale </t>
  </si>
  <si>
    <t xml:space="preserve">Depriciation should be margin of the sales if capex is xero but will try with capex margin </t>
  </si>
  <si>
    <t>capital expenditure will we the margin of sales.</t>
  </si>
  <si>
    <t xml:space="preserve">slaes shows the same growth  rate as historical and will be forecasted on the basis </t>
  </si>
  <si>
    <t xml:space="preserve">Net working capital will we the margin sales </t>
  </si>
  <si>
    <t>NOPAT is EBIT(1-Tax Rate)</t>
  </si>
  <si>
    <t>1. Forecast Assumptions (Operating)</t>
  </si>
  <si>
    <t>2. Discounting Assumptions</t>
  </si>
  <si>
    <t>Inputs needed:</t>
  </si>
  <si>
    <t>Cost of Equity (via CAPM: Risk-free rate, Beta, Market Risk Premium).</t>
  </si>
  <si>
    <t>Cost of Debt (after tax).</t>
  </si>
  <si>
    <t>Capital Structure (Debt/Equity ratio).</t>
  </si>
  <si>
    <t>3. Terminal Value Assumptions</t>
  </si>
  <si>
    <t>4. Balance Sheet-Related Assumptions</t>
  </si>
  <si>
    <t>5. Sensitivity Assumptions</t>
  </si>
  <si>
    <t>Sometimes also revenue growth &amp; margin sensitivity.</t>
  </si>
  <si>
    <r>
      <t>WACC (Weighted Average Cost of Capital)</t>
    </r>
    <r>
      <rPr>
        <sz val="20"/>
        <color theme="1"/>
        <rFont val="Times New Roman"/>
        <family val="1"/>
      </rPr>
      <t xml:space="preserve"> → Used to discount FCFF.</t>
    </r>
  </si>
  <si>
    <r>
      <t>Terminal Growth Rate (g)</t>
    </r>
    <r>
      <rPr>
        <sz val="20"/>
        <color theme="1"/>
        <rFont val="Times New Roman"/>
        <family val="1"/>
      </rPr>
      <t xml:space="preserve"> → Long-term sustainable growth (usually 3–5% for India).</t>
    </r>
  </si>
  <si>
    <r>
      <t>Method</t>
    </r>
    <r>
      <rPr>
        <sz val="20"/>
        <color theme="1"/>
        <rFont val="Times New Roman"/>
        <family val="1"/>
      </rPr>
      <t>: Perpetuity Growth Method (Gordon Growth) or Exit Multiple Method.</t>
    </r>
  </si>
  <si>
    <r>
      <t>Cash &amp; Cash Equivalents</t>
    </r>
    <r>
      <rPr>
        <sz val="20"/>
        <color theme="1"/>
        <rFont val="Times New Roman"/>
        <family val="1"/>
      </rPr>
      <t xml:space="preserve"> → Needed for Net Debt calculation.</t>
    </r>
  </si>
  <si>
    <r>
      <t>Debt Levels</t>
    </r>
    <r>
      <rPr>
        <sz val="20"/>
        <color theme="1"/>
        <rFont val="Times New Roman"/>
        <family val="1"/>
      </rPr>
      <t xml:space="preserve"> → Outstanding borrowings considered.</t>
    </r>
  </si>
  <si>
    <r>
      <t>Shares Outstanding</t>
    </r>
    <r>
      <rPr>
        <sz val="20"/>
        <color theme="1"/>
        <rFont val="Times New Roman"/>
        <family val="1"/>
      </rPr>
      <t xml:space="preserve"> → To calculate per share intrinsic value.</t>
    </r>
  </si>
  <si>
    <r>
      <t>Scenarios for WACC &amp; g</t>
    </r>
    <r>
      <rPr>
        <sz val="20"/>
        <color theme="1"/>
        <rFont val="Times New Roman"/>
        <family val="1"/>
      </rPr>
      <t xml:space="preserve"> → To test how valuation changes if discount rate or terminal growth changes.</t>
    </r>
  </si>
  <si>
    <t>Revenue Growth Rate = CAGR or year-on-year growth for sales.</t>
  </si>
  <si>
    <t>EBIT Margin / Operating Margin = Stable or improving trend based on history &amp; industry.</t>
  </si>
  <si>
    <t>Depreciation = As % of Sales or % of Capex.</t>
  </si>
  <si>
    <t>Capex = As % of Sales or based on historical trend.</t>
  </si>
  <si>
    <t>Working Capital Changes = As % of Sales (Receivables, Inventory, Payables).</t>
  </si>
  <si>
    <t>Tax Rate = Effective tax rate based on company filings.</t>
  </si>
  <si>
    <r>
      <t>WACC (Weighted Average Cost of Capital)</t>
    </r>
    <r>
      <rPr>
        <sz val="20"/>
        <color rgb="FF000000"/>
        <rFont val="Times New Roman"/>
        <family val="1"/>
      </rPr>
      <t xml:space="preserve"> = Used to discount FCFF.</t>
    </r>
  </si>
  <si>
    <r>
      <t>Scenarios for WACC &amp; g</t>
    </r>
    <r>
      <rPr>
        <sz val="20"/>
        <color rgb="FF000000"/>
        <rFont val="Times New Roman"/>
        <family val="1"/>
      </rPr>
      <t xml:space="preserve"> = To test how valuation changes if discount rate or terminal growth changes.</t>
    </r>
  </si>
  <si>
    <t>Cash &amp; Cash Equivalents = Needed for Net Debt calculation.</t>
  </si>
  <si>
    <t>Debt Levels = Outstanding borrowings considered.</t>
  </si>
  <si>
    <t>Shares Outstanding = To calculate per share intrinsic value.</t>
  </si>
  <si>
    <t>Terminal Growth Rate (g) = Long-term sustainable growth (Taken GDP Growth of India)</t>
  </si>
  <si>
    <t>Working Capital Changes = As % of Sales (Receivables, Inventory, Payables).used (Trade receivable + Inventory + other Current Operating Assets ) - (Trade Pyable + other current liabilities)</t>
  </si>
  <si>
    <t>Depreciation = As % of Capex.</t>
  </si>
  <si>
    <r>
      <t>Method</t>
    </r>
    <r>
      <rPr>
        <sz val="20"/>
        <color rgb="FF000000"/>
        <rFont val="Times New Roman"/>
        <family val="1"/>
      </rPr>
      <t>: Perpetuity Growth Method (Gordon Growth).</t>
    </r>
  </si>
  <si>
    <t>Loans</t>
  </si>
  <si>
    <t>Assets held for sale</t>
  </si>
  <si>
    <t>Depreiation an amortisation expenses</t>
  </si>
  <si>
    <t>Excise duty</t>
  </si>
  <si>
    <t xml:space="preserve">Net gain on sale of financial assets measured at FVTPL </t>
  </si>
  <si>
    <t>Exceptional Item</t>
  </si>
  <si>
    <t>Purchase of investment /Bank diposits</t>
  </si>
  <si>
    <t>Purchase of Subsidiary</t>
  </si>
  <si>
    <t>Cash and Cash equivalent acquire in a business Combination</t>
  </si>
  <si>
    <t>Finance Costs</t>
  </si>
  <si>
    <t>Net gain on sale of financial assets measured at amortised Cost</t>
  </si>
  <si>
    <t>Income Statement</t>
  </si>
  <si>
    <t>FY-2021</t>
  </si>
  <si>
    <t>FY-2022</t>
  </si>
  <si>
    <t>FY-2023</t>
  </si>
  <si>
    <t>FY-2024</t>
  </si>
  <si>
    <t>FY-2025</t>
  </si>
  <si>
    <t>Historical Financial Statement - Dabur India ltd</t>
  </si>
  <si>
    <t>Dabur India ltd</t>
  </si>
  <si>
    <t xml:space="preserve">Sector: Fast Moving Consumer Goods </t>
  </si>
  <si>
    <t>Balancesheet</t>
  </si>
  <si>
    <t>Earning per equity share</t>
  </si>
  <si>
    <t>Basic</t>
  </si>
  <si>
    <t xml:space="preserve">Diluted </t>
  </si>
  <si>
    <t xml:space="preserve">  </t>
  </si>
  <si>
    <t>Days sales Outstanding</t>
  </si>
  <si>
    <t>Days Inventory Outstanding</t>
  </si>
  <si>
    <t xml:space="preserve">Sales </t>
  </si>
  <si>
    <t>Average Debtor</t>
  </si>
  <si>
    <t>Average Inventory</t>
  </si>
  <si>
    <t>Average Payable</t>
  </si>
  <si>
    <t>Days Payables Outstanding</t>
  </si>
  <si>
    <t>Cash conversion Cycle</t>
  </si>
  <si>
    <t>FY-2026</t>
  </si>
  <si>
    <t>FY-2027</t>
  </si>
  <si>
    <t>FY-2028</t>
  </si>
  <si>
    <t>FY-2029</t>
  </si>
  <si>
    <t>FY-2030</t>
  </si>
  <si>
    <t>Forecasted Financial Statement - Dabur India ltd</t>
  </si>
  <si>
    <t>Forecasted Balancesheet</t>
  </si>
  <si>
    <t>Forecasted Cashflow</t>
  </si>
  <si>
    <t>Forecasted Income Statement</t>
  </si>
  <si>
    <t>Basis of forecasting</t>
  </si>
  <si>
    <t>Growth rate</t>
  </si>
  <si>
    <t>Operating expenses</t>
  </si>
  <si>
    <t>Margin</t>
  </si>
  <si>
    <t>Gross Profit</t>
  </si>
  <si>
    <t>EBITDA</t>
  </si>
  <si>
    <t>Depreciation an amortaisation expenses</t>
  </si>
  <si>
    <t>Other Incomes</t>
  </si>
  <si>
    <t>Profit Befor Tax and after Adjustments</t>
  </si>
  <si>
    <t>Property, plant &amp; equipment = Prior year PPE + Capex – Depreciation.</t>
  </si>
  <si>
    <t>Capital work in progress = assume proportion of new Capex.</t>
  </si>
  <si>
    <t>Receivables = (DSO/365)×Sales</t>
  </si>
  <si>
    <t>Cash = plug from cash flow.</t>
  </si>
  <si>
    <t>Other current assets = % of sales.</t>
  </si>
  <si>
    <t>Trade payables = (DPO/365)×COGS</t>
  </si>
  <si>
    <t>Debt = scheduled repayments or new borrowings</t>
  </si>
  <si>
    <t>Equity = opening + net profit – dividends + new issue.</t>
  </si>
  <si>
    <t>Inventory = (DIO/365)×COGS</t>
  </si>
  <si>
    <t>Assumption - 1</t>
  </si>
  <si>
    <t>% of Sales</t>
  </si>
  <si>
    <t>Constant</t>
  </si>
  <si>
    <t>Can not</t>
  </si>
  <si>
    <t>DIO</t>
  </si>
  <si>
    <t>DSO</t>
  </si>
  <si>
    <t>--</t>
  </si>
  <si>
    <t>Working Capital</t>
  </si>
  <si>
    <t>DPO</t>
  </si>
  <si>
    <t>days  average</t>
  </si>
  <si>
    <t>can not</t>
  </si>
  <si>
    <t>Mean</t>
  </si>
  <si>
    <t>Median</t>
  </si>
  <si>
    <t>DABURINDIA| BSE Code : 524715)</t>
  </si>
  <si>
    <t/>
  </si>
  <si>
    <t>Inr (Cr.)</t>
  </si>
  <si>
    <t>Key financial Metrics</t>
  </si>
  <si>
    <t>Share Price - 5 Year</t>
  </si>
  <si>
    <t>Total Sales</t>
  </si>
  <si>
    <t>Sales Growth ( y-o-y %)</t>
  </si>
  <si>
    <t>Gross Profit Margin (%)</t>
  </si>
  <si>
    <t>EBITDA Margin (%)</t>
  </si>
  <si>
    <t>EBIT Margin (%)</t>
  </si>
  <si>
    <t>Net profit Margin (%)</t>
  </si>
  <si>
    <t>Earning Per share (in Rs.)</t>
  </si>
  <si>
    <t>EPS Growth (%)</t>
  </si>
  <si>
    <t>Dividend Per Share</t>
  </si>
  <si>
    <t>Dividend Growth rate (Y-o-Y %)</t>
  </si>
  <si>
    <t>Key financial Ratios</t>
  </si>
  <si>
    <t>Share Price - 1 year</t>
  </si>
  <si>
    <t>Price to Earning</t>
  </si>
  <si>
    <t>EV/EBITDA</t>
  </si>
  <si>
    <t>EV/Sales</t>
  </si>
  <si>
    <t>Price to Bookvalue</t>
  </si>
  <si>
    <t>Return to Equity (%)</t>
  </si>
  <si>
    <t>Return on Capital Employed (%)</t>
  </si>
  <si>
    <t>Top 10 Shareholders</t>
  </si>
  <si>
    <t>Shares ( In Cr.)</t>
  </si>
  <si>
    <t>Holding (%)</t>
  </si>
  <si>
    <t>Market Value</t>
  </si>
  <si>
    <t>Life Insurance Corporation of India (LIC)</t>
  </si>
  <si>
    <t>Managerial Renumeration</t>
  </si>
  <si>
    <t>Designation</t>
  </si>
  <si>
    <t>Renumeration (in Cr.)</t>
  </si>
  <si>
    <t>X of Median Salary</t>
  </si>
  <si>
    <t>Capital Structure</t>
  </si>
  <si>
    <t>Share Price as on Sep-2025</t>
  </si>
  <si>
    <t>No.of Share Outstanding</t>
  </si>
  <si>
    <t>Market Capitalisation</t>
  </si>
  <si>
    <t>Less:</t>
  </si>
  <si>
    <t>Cash &amp; Equivalent</t>
  </si>
  <si>
    <t>Add:</t>
  </si>
  <si>
    <t>Enterprise Value</t>
  </si>
  <si>
    <t>Notes.</t>
  </si>
  <si>
    <t>The Company has 6,604 permanent employees on the rolls of Company as on 31st March, 2025.</t>
  </si>
  <si>
    <t>Recent Updates</t>
  </si>
  <si>
    <t xml:space="preserve">Dabur India - one Page Profile </t>
  </si>
  <si>
    <t>Dabur India Ltd., founded in 1884, is one of India’s oldest and largest FMCG companies with a strong heritage in Ayurveda and natural healthcare. It manufactures and markets health supplements, personal care, foods, home care and OTC products under well-known brands like Dabur Chyawanprash, Vatika, Real and Hajmola. Operating multiple manufacturing units in India and abroad and reaching over 120 countries, Dabur combines traditional knowledge with modern R&amp;D to sustain leadership in herbal and natural products. Its diversified portfolio and international presence make it a leading player in the Indian FMCG sector and a growing name globally.</t>
  </si>
  <si>
    <t>Dividend Payout ratio</t>
  </si>
  <si>
    <t>Year (as of 31-Mar)</t>
  </si>
  <si>
    <t>Shares outstanding (₹ crore units)</t>
  </si>
  <si>
    <t>MPS</t>
  </si>
  <si>
    <t xml:space="preserve">market cap </t>
  </si>
  <si>
    <t>Shareholder</t>
  </si>
  <si>
    <t>Holding (No. of Shares)</t>
  </si>
  <si>
    <t>Holding %</t>
  </si>
  <si>
    <t>Value of Holding (₹ Crore)</t>
  </si>
  <si>
    <t>Vic Enterprises Private Limited</t>
  </si>
  <si>
    <t>1,102.42 Cr</t>
  </si>
  <si>
    <t>Saket Burman</t>
  </si>
  <si>
    <t>1,059.23 Cr</t>
  </si>
  <si>
    <t>Gyan Enterprises Pvt. Ltd.</t>
  </si>
  <si>
    <t>977.06 Cr</t>
  </si>
  <si>
    <t>Puran Associates Pvt. Ltd.</t>
  </si>
  <si>
    <t>956.84 Cr</t>
  </si>
  <si>
    <t>Ratna Commercial Enterprises Pvt. Ltd.</t>
  </si>
  <si>
    <t>803.54 Cr</t>
  </si>
  <si>
    <t>Milky Investment And Trading Co.</t>
  </si>
  <si>
    <t>536.20 Cr</t>
  </si>
  <si>
    <t>450.58 Cr</t>
  </si>
  <si>
    <t>Burmans Finvest Private Limited</t>
  </si>
  <si>
    <t>268.23 Cr</t>
  </si>
  <si>
    <t>UTI Retirement Solutions Ltd.</t>
  </si>
  <si>
    <t>167.05 Cr</t>
  </si>
  <si>
    <t>ICICI Prudential AMC Ltd.</t>
  </si>
  <si>
    <t>160.39 Cr</t>
  </si>
  <si>
    <t>Key Managerial Personnel</t>
  </si>
  <si>
    <t>Remuneration (₹ Cr)</t>
  </si>
  <si>
    <t>Ratio to Median Employee Salary (x)</t>
  </si>
  <si>
    <t>Mohit Malhotra</t>
  </si>
  <si>
    <t>Chief Executive Officer &amp; Whole-time Director</t>
  </si>
  <si>
    <t>257×</t>
  </si>
  <si>
    <t>Amit Burman</t>
  </si>
  <si>
    <t>Chairman (Non-Executive)</t>
  </si>
  <si>
    <t>34×</t>
  </si>
  <si>
    <t>P. D. Narang</t>
  </si>
  <si>
    <t>Whole-time Director</t>
  </si>
  <si>
    <t>144×</t>
  </si>
  <si>
    <t>Mohit Anand</t>
  </si>
  <si>
    <t>106×</t>
  </si>
  <si>
    <t>Manish Chugh</t>
  </si>
  <si>
    <t>Chief Financial Officer (KMP)</t>
  </si>
  <si>
    <t>57×</t>
  </si>
  <si>
    <t>Vivek Chandra</t>
  </si>
  <si>
    <t>Chief Executive Officer – International Business (KMP)</t>
  </si>
  <si>
    <t>60×</t>
  </si>
  <si>
    <t>Sandeep Sharma</t>
  </si>
  <si>
    <t>Chief Executive Officer – India Business (KMP)</t>
  </si>
  <si>
    <t>53×</t>
  </si>
  <si>
    <t>Atul Sharma</t>
  </si>
  <si>
    <t>Company Secretary &amp; Compliance Officer (KMP)</t>
  </si>
  <si>
    <t>21×</t>
  </si>
  <si>
    <t>CEO &amp; Whole-time Director</t>
  </si>
  <si>
    <t>CEO – International Business (KMP)</t>
  </si>
  <si>
    <t>CEO – India Business (KMP)</t>
  </si>
  <si>
    <t>CS &amp; Compliance Officer (KMP)</t>
  </si>
  <si>
    <t>Dabur reported a 3% year-on-year increase in consolidated net profit to ₹514 crore for Q1 FY2025-26, with a 2% rise in revenue, indicating steady growth despite challenges.</t>
  </si>
  <si>
    <t>The company announced price reductions across key products like Vatika and Chyawanprakash following the recent GST rate cuts, aiming to enhance affordability and boost consumption.</t>
  </si>
  <si>
    <t>Dabur signed a Memorandum of Understanding with the Government of Tamil Nadu to establish its first manufacturing facility in South India, located in SIPCOT Tindivanam, to strengthen its domestic manufacturing footprint.</t>
  </si>
  <si>
    <t>In response to the recent unrest in Nepal, Dabur temporarily suspended operations at its manufacturing unit in Birgunj to ensure the safety of its employees and maintain operational continuity.</t>
  </si>
  <si>
    <t>The company plans to increase its direct distribution reach to 1.5 million outlets over the next two years, aiming to enhance market penetration and accessibility of its products.</t>
  </si>
  <si>
    <t>Dabur continues to focus on rural markets, deriving approximately 50% of its sales from rural regions, with a presence in 90,000 villages, highlighting its commitment to inclusive growth.</t>
  </si>
  <si>
    <t>The company aims to achieve net-zero carbon emissions by 2045 and water positivity by 2030, embedding sustainability into its business model through a comprehensive environmental, social, and governance (ESG) framework</t>
  </si>
  <si>
    <t>Dabur's CEO, Mohit Malhotra, hailed GST reforms as a boost to consumption, noting that tax parity on branded goods will lower prices and spur demand.</t>
  </si>
  <si>
    <t>Month</t>
  </si>
  <si>
    <t>Close Price</t>
  </si>
  <si>
    <t>Market cap</t>
  </si>
  <si>
    <t>No. of share</t>
  </si>
  <si>
    <t>BV</t>
  </si>
  <si>
    <t>Mps</t>
  </si>
  <si>
    <t>ratio</t>
  </si>
  <si>
    <t>EV</t>
  </si>
  <si>
    <t>market cap</t>
  </si>
  <si>
    <t>Debt</t>
  </si>
  <si>
    <t xml:space="preserve">Minority </t>
  </si>
  <si>
    <t>cas h</t>
  </si>
  <si>
    <t>Intangibles = constant</t>
  </si>
  <si>
    <t>Loans, deferred tax, other non-current = keep constant or e</t>
  </si>
  <si>
    <t>Investments = other wise Constant</t>
  </si>
  <si>
    <t>P.E.S.T.L.E Analysis of Company</t>
  </si>
  <si>
    <t>Political</t>
  </si>
  <si>
    <t>Economical</t>
  </si>
  <si>
    <t xml:space="preserve">Social </t>
  </si>
  <si>
    <t xml:space="preserve">Technological </t>
  </si>
  <si>
    <t xml:space="preserve">Legal </t>
  </si>
  <si>
    <t>Environmental</t>
  </si>
  <si>
    <t>GST reforms and tax policy changes – GST 2.0 simplified rates (5% &amp; 18%) reduce compliance costs, but re-classifications (like Hajmola as candy vs. ayurvedic) can increase tax outgo and squeeze margins.</t>
  </si>
  <si>
    <t>Import/export policies – Any changes in customs duty on raw materials (like herbs, packaging, or oils) affect cost of goods sold and therefore gross margin.</t>
  </si>
  <si>
    <t>Government incentives for manufacturing – The Tamil Nadu plant may benefit from subsidies/tax holidays, reducing initial capex and improving ROI.</t>
  </si>
  <si>
    <t>Financial effect: Direct impact on EBITDA margins and effective tax rate, influencing net profit and free cash flow.</t>
  </si>
  <si>
    <t>Currency fluctuations – Its growing international business (Middle East, US, Nepal) faces FX risk; rupee depreciation may inflate import costs but improve export earnings.</t>
  </si>
  <si>
    <t>Interest rate environment – Higher rates increase borrowing cost and discount rate in valuations, lowering equity valuations.</t>
  </si>
  <si>
    <t>Financial effect: Impacts volume growth, working capital cycle, and cost of capital (WACC), affecting valuation multiples like EV/EBITDA.</t>
  </si>
  <si>
    <t>Shift to wellness &amp; natural products – Strong tailwind for Dabur’s ayurvedic portfolio, boosting top-line growth and pricing power.</t>
  </si>
  <si>
    <t>Rising health consciousness – Drives premiumisation (higher ASP products) which improves gross margin.</t>
  </si>
  <si>
    <t>Changing demographics – Younger consumers may prefer new formats (ready-to-drink, gummies) requiring new product investment.</t>
  </si>
  <si>
    <t>Financial effect: Can raise average selling price (ASP) and brand equity, but may increase R&amp;D/marketing spend in the short term.</t>
  </si>
  <si>
    <t>Automation in manufacturing – New Tamil Nadu plant can lower per-unit costs, improving operating margins and cash flows.</t>
  </si>
  <si>
    <t>E-commerce &amp; digital marketing – Expanding into D2C channels increases distribution reach with lower trade margins, improving contribution margin but requiring upfront tech investments.</t>
  </si>
  <si>
    <t>Supply chain digitisation – Better forecasting can reduce inventory holding costs, freeing up working capital.</t>
  </si>
  <si>
    <t>Financial effect: Lower COGS and SG&amp;A over time, higher return on capital employed (ROCE), but initially higher capex.</t>
  </si>
  <si>
    <t>Frequent tax disputes (income tax, GST) – Large contingent liabilities can distort reported profit and reduce free cash flow if provisions are made.</t>
  </si>
  <si>
    <t>Advertising &amp; trademark disputes – Ongoing litigation with Patanjali (Red toothpaste, chyawanprash ads) could lead to legal expenses and potentially damage brand equity.</t>
  </si>
  <si>
    <t>Compliance with new labelling/food safety standards – Non-compliance can lead to fines or recalls, impacting revenue and reputation.</t>
  </si>
  <si>
    <t>Financial effect: Raises legal expenses and creates earnings volatility due to provisions/contingencies, affecting investor confidence and share price.</t>
  </si>
  <si>
    <t>Sustainability commitments (net-zero by 2045, water positive by 2030) – Requires significant capex in green energy, packaging, and supply chain transformation.</t>
  </si>
  <si>
    <t>Packaging waste regulations – Push for recyclable or biodegradable packaging could increase material cost in the short term.</t>
  </si>
  <si>
    <t>Climate change risk to raw materials – Erratic monsoons may affect supply and prices of herbs like amla, ashwagandha.</t>
  </si>
  <si>
    <t>Financial effect: Higher capex and raw material costs in near term, but strengthens ESG profile → lower cost of capital and better long-term investor interest.</t>
  </si>
  <si>
    <t>257X</t>
  </si>
  <si>
    <t>34X</t>
  </si>
  <si>
    <t>144X</t>
  </si>
  <si>
    <t>106X</t>
  </si>
  <si>
    <t>57X</t>
  </si>
  <si>
    <t>60X</t>
  </si>
  <si>
    <t>53X</t>
  </si>
  <si>
    <t>21X</t>
  </si>
  <si>
    <t>on the basis of MDA report FMCG is projected to grow by 10-15% rate so we have taken company growth rate as 10%</t>
  </si>
  <si>
    <t>NA</t>
  </si>
  <si>
    <t>P&amp;L</t>
  </si>
  <si>
    <t>COGS will be forecasted as averaeg of margini of COGS in comparisiono of Sales</t>
  </si>
  <si>
    <t xml:space="preserve">Operating expenses will be forecasted on as average of margin of sales of past year </t>
  </si>
  <si>
    <t>forecasted as average of percentage of capex  because company is  directly linked to capex</t>
  </si>
  <si>
    <t>Rural demand sensitivity – With 50% of Dabur’s sales from rural India, weak monsoon or inflation affects disposable income → slower volume growth.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</si>
</sst>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(&quot;₹&quot;* #,##0.00_);_(&quot;₹&quot;* \(#,##0.00\);_(&quot;₹&quot;* &quot;-&quot;??_);_(@_)"/>
    <numFmt numFmtId="43" formatCode="_(* #,##0.00_);_(* \(#,##0.00\);_(* &quot;-&quot;??_);_(@_)"/>
    <numFmt numFmtId="164" formatCode="0.0%"/>
    <numFmt numFmtId="165" formatCode="&quot;₹&quot;#,##0.00"/>
    <numFmt numFmtId="166" formatCode="0.0"/>
    <numFmt numFmtId="167" formatCode="&quot;₹&quot;#,##0.0"/>
    <numFmt numFmtId="168" formatCode="&quot;₹&quot;#,##0"/>
    <numFmt numFmtId="169" formatCode="0.000%"/>
    <numFmt numFmtId="170" formatCode="00,000"/>
    <numFmt numFmtId="171" formatCode="0.00\X"/>
  </numFmts>
  <fonts count="104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sz val="20"/>
      <color theme="1"/>
      <name val="Aptos Narrow"/>
      <scheme val="minor"/>
    </font>
    <font>
      <sz val="20"/>
      <color theme="0"/>
      <name val="Aptos Narrow"/>
      <family val="2"/>
      <scheme val="minor"/>
    </font>
    <font>
      <b/>
      <sz val="20"/>
      <color theme="9"/>
      <name val="Aptos Narrow"/>
      <scheme val="minor"/>
    </font>
    <font>
      <sz val="20"/>
      <color theme="1"/>
      <name val="Aptos Narrow"/>
      <scheme val="minor"/>
    </font>
    <font>
      <b/>
      <sz val="28"/>
      <color theme="1"/>
      <name val="Aptos Narrow"/>
      <scheme val="minor"/>
    </font>
    <font>
      <sz val="25"/>
      <color theme="1"/>
      <name val="Aptos Narrow"/>
      <family val="2"/>
      <scheme val="minor"/>
    </font>
    <font>
      <sz val="28"/>
      <color theme="1"/>
      <name val="Aptos Narrow"/>
      <scheme val="minor"/>
    </font>
    <font>
      <b/>
      <sz val="25"/>
      <color theme="9"/>
      <name val="Aptos Narrow"/>
      <scheme val="minor"/>
    </font>
    <font>
      <sz val="20"/>
      <color theme="1"/>
      <name val="Times New Roman"/>
      <family val="1"/>
    </font>
    <font>
      <b/>
      <sz val="25"/>
      <color theme="9"/>
      <name val="Times New Roman"/>
      <family val="1"/>
    </font>
    <font>
      <b/>
      <sz val="20"/>
      <color theme="1"/>
      <name val="Times New Roman"/>
      <family val="1"/>
    </font>
    <font>
      <b/>
      <sz val="20"/>
      <color theme="0"/>
      <name val="Times New Roman"/>
      <family val="1"/>
    </font>
    <font>
      <sz val="12"/>
      <color rgb="FF22222F"/>
      <name val="Arial"/>
      <family val="2"/>
    </font>
    <font>
      <sz val="8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Aptos Narrow"/>
      <family val="2"/>
      <scheme val="minor"/>
    </font>
    <font>
      <sz val="12"/>
      <color rgb="FF606F7B"/>
      <name val="Arial"/>
      <family val="2"/>
    </font>
    <font>
      <sz val="12"/>
      <color rgb="FF22222F"/>
      <name val="Arial"/>
      <family val="2"/>
    </font>
    <font>
      <sz val="12"/>
      <color rgb="FF665EFD"/>
      <name val="Arial"/>
      <family val="2"/>
    </font>
    <font>
      <b/>
      <sz val="20"/>
      <color theme="4"/>
      <name val="Aptos Narrow"/>
      <scheme val="minor"/>
    </font>
    <font>
      <sz val="20"/>
      <color rgb="FF22222F"/>
      <name val="Arial"/>
      <family val="2"/>
    </font>
    <font>
      <sz val="17"/>
      <color theme="1"/>
      <name val="Aptos Narrow"/>
      <family val="2"/>
      <scheme val="minor"/>
    </font>
    <font>
      <sz val="17"/>
      <color rgb="FF22222F"/>
      <name val="Arial"/>
      <family val="2"/>
    </font>
    <font>
      <sz val="17"/>
      <color theme="1"/>
      <name val="Arial"/>
      <family val="2"/>
    </font>
    <font>
      <i/>
      <sz val="17"/>
      <color theme="1"/>
      <name val="Aptos Narrow"/>
      <scheme val="minor"/>
    </font>
    <font>
      <sz val="17"/>
      <color theme="5" tint="-0.249977111117893"/>
      <name val="Arial"/>
      <family val="2"/>
    </font>
    <font>
      <sz val="17"/>
      <color rgb="FF22222F"/>
      <name val="Arial"/>
      <family val="2"/>
    </font>
    <font>
      <i/>
      <sz val="20"/>
      <color theme="1"/>
      <name val="Aptos Narrow"/>
      <scheme val="minor"/>
    </font>
    <font>
      <i/>
      <sz val="17"/>
      <color theme="0" tint="-0.34998626667073579"/>
      <name val="Aptos Narrow"/>
      <scheme val="minor"/>
    </font>
    <font>
      <b/>
      <sz val="30"/>
      <color rgb="FF215C98"/>
      <name val="Times New Roman"/>
      <family val="1"/>
    </font>
    <font>
      <b/>
      <sz val="28"/>
      <color rgb="FF215C98"/>
      <name val="Times New Roman"/>
      <family val="1"/>
    </font>
    <font>
      <b/>
      <sz val="28"/>
      <color theme="3" tint="0.249977111117893"/>
      <name val="Times New Roman"/>
      <family val="1"/>
    </font>
    <font>
      <b/>
      <sz val="24"/>
      <color theme="3" tint="0.249977111117893"/>
      <name val="Times New Roman"/>
      <family val="1"/>
    </font>
    <font>
      <b/>
      <sz val="20"/>
      <color theme="5" tint="-0.249977111117893"/>
      <name val="Aptos Narrow"/>
      <scheme val="minor"/>
    </font>
    <font>
      <b/>
      <sz val="26"/>
      <color rgb="FF215C98"/>
      <name val="Times New Roman"/>
      <family val="1"/>
    </font>
    <font>
      <sz val="20"/>
      <color rgb="FF000000"/>
      <name val="Aptos Narrow"/>
      <family val="2"/>
      <scheme val="minor"/>
    </font>
    <font>
      <b/>
      <sz val="17"/>
      <color rgb="FF000000"/>
      <name val="Helvetica Neue"/>
      <family val="2"/>
    </font>
    <font>
      <sz val="17"/>
      <color rgb="FF000000"/>
      <name val="Helvetica Neue"/>
      <family val="2"/>
    </font>
    <font>
      <b/>
      <sz val="27"/>
      <color rgb="FF215C98"/>
      <name val="Times New Roman"/>
      <family val="1"/>
    </font>
    <font>
      <b/>
      <sz val="24"/>
      <color theme="1"/>
      <name val="Aptos Narrow"/>
      <scheme val="minor"/>
    </font>
    <font>
      <sz val="26"/>
      <color theme="1"/>
      <name val="Aptos Narrow"/>
      <scheme val="minor"/>
    </font>
    <font>
      <b/>
      <sz val="26"/>
      <color theme="5" tint="-0.249977111117893"/>
      <name val="Aptos Narrow"/>
      <scheme val="minor"/>
    </font>
    <font>
      <sz val="20"/>
      <color theme="9" tint="-0.249977111117893"/>
      <name val="Aptos Narrow"/>
      <family val="2"/>
      <scheme val="minor"/>
    </font>
    <font>
      <b/>
      <sz val="20"/>
      <color theme="9" tint="-0.249977111117893"/>
      <name val="Aptos Narrow"/>
      <scheme val="minor"/>
    </font>
    <font>
      <sz val="20"/>
      <color theme="9" tint="-0.249977111117893"/>
      <name val="Aptos Narrow"/>
      <scheme val="minor"/>
    </font>
    <font>
      <b/>
      <sz val="17"/>
      <color theme="9" tint="-0.249977111117893"/>
      <name val="Aptos Narrow"/>
      <scheme val="minor"/>
    </font>
    <font>
      <b/>
      <sz val="20"/>
      <color theme="1"/>
      <name val="Aptos Narrow"/>
      <family val="2"/>
      <scheme val="minor"/>
    </font>
    <font>
      <sz val="20"/>
      <color rgb="FF22222F"/>
      <name val="Aptos Narrow"/>
      <scheme val="minor"/>
    </font>
    <font>
      <b/>
      <sz val="20"/>
      <color rgb="FF22222F"/>
      <name val="Aptos Narrow"/>
      <scheme val="minor"/>
    </font>
    <font>
      <b/>
      <i/>
      <sz val="24"/>
      <color theme="9" tint="-0.499984740745262"/>
      <name val="Aptos Narrow"/>
      <scheme val="minor"/>
    </font>
    <font>
      <i/>
      <sz val="20"/>
      <color theme="2" tint="-0.499984740745262"/>
      <name val="Aptos Narrow"/>
      <scheme val="minor"/>
    </font>
    <font>
      <sz val="20"/>
      <color theme="2" tint="-0.499984740745262"/>
      <name val="Aptos Narrow"/>
      <scheme val="minor"/>
    </font>
    <font>
      <b/>
      <sz val="20"/>
      <color rgb="FF22222F"/>
      <name val="Arial"/>
      <family val="2"/>
    </font>
    <font>
      <b/>
      <sz val="27"/>
      <color theme="1"/>
      <name val="Aptos Narrow"/>
      <scheme val="minor"/>
    </font>
    <font>
      <b/>
      <sz val="14"/>
      <color rgb="FF333333"/>
      <name val="Arial"/>
      <family val="2"/>
    </font>
    <font>
      <b/>
      <sz val="20"/>
      <color rgb="FF333333"/>
      <name val="Aptos Narrow"/>
      <scheme val="minor"/>
    </font>
    <font>
      <sz val="20"/>
      <color rgb="FF22222F"/>
      <name val="Aptos Narrow"/>
      <scheme val="minor"/>
    </font>
    <font>
      <b/>
      <sz val="20"/>
      <color rgb="FF000000"/>
      <name val="Times New Roman"/>
      <family val="1"/>
    </font>
    <font>
      <sz val="28"/>
      <color rgb="FF000000"/>
      <name val="Aptos Narrow"/>
      <scheme val="minor"/>
    </font>
    <font>
      <sz val="20"/>
      <color rgb="FF000000"/>
      <name val="Times New Roman"/>
      <family val="1"/>
    </font>
    <font>
      <b/>
      <sz val="36"/>
      <color rgb="FF215C98"/>
      <name val="Times New Roman"/>
      <family val="1"/>
    </font>
    <font>
      <b/>
      <sz val="12"/>
      <color theme="1"/>
      <name val="Aptos Narrow"/>
      <family val="2"/>
      <scheme val="minor"/>
    </font>
    <font>
      <b/>
      <sz val="16"/>
      <color theme="0"/>
      <name val="Calibri (Body)"/>
    </font>
    <font>
      <sz val="22"/>
      <color theme="0"/>
      <name val="Aptos Narrow"/>
      <family val="2"/>
      <scheme val="minor"/>
    </font>
    <font>
      <b/>
      <sz val="24"/>
      <color theme="0"/>
      <name val="Calibri"/>
      <family val="2"/>
    </font>
    <font>
      <sz val="18"/>
      <color theme="1"/>
      <name val="Arial"/>
      <family val="2"/>
    </font>
    <font>
      <sz val="18"/>
      <color theme="1"/>
      <name val="Aptos Narrow"/>
      <family val="2"/>
      <scheme val="minor"/>
    </font>
    <font>
      <b/>
      <sz val="36"/>
      <color theme="1"/>
      <name val="Aptos Narrow"/>
      <scheme val="minor"/>
    </font>
    <font>
      <sz val="24"/>
      <color theme="0"/>
      <name val="Aptos Narrow"/>
      <family val="2"/>
      <scheme val="minor"/>
    </font>
    <font>
      <sz val="26"/>
      <color theme="0"/>
      <name val="Aptos Narrow"/>
      <scheme val="minor"/>
    </font>
    <font>
      <b/>
      <sz val="24"/>
      <color theme="0"/>
      <name val="Aptos Narrow"/>
      <scheme val="minor"/>
    </font>
    <font>
      <i/>
      <sz val="20"/>
      <color theme="2" tint="-0.249977111117893"/>
      <name val="Aptos Narrow"/>
      <scheme val="minor"/>
    </font>
    <font>
      <b/>
      <i/>
      <sz val="20"/>
      <color theme="2" tint="-0.249977111117893"/>
      <name val="Aptos Narrow"/>
      <scheme val="minor"/>
    </font>
    <font>
      <sz val="20"/>
      <color theme="5" tint="-0.249977111117893"/>
      <name val="Aptos Narrow"/>
      <scheme val="minor"/>
    </font>
    <font>
      <b/>
      <sz val="36"/>
      <color theme="1"/>
      <name val="Times New Roman"/>
      <family val="1"/>
    </font>
    <font>
      <i/>
      <sz val="20"/>
      <color theme="5" tint="-0.249977111117893"/>
      <name val="Aptos Narrow"/>
      <scheme val="minor"/>
    </font>
    <font>
      <b/>
      <sz val="72"/>
      <color rgb="FF215C98"/>
      <name val="Times New Roman"/>
      <family val="1"/>
    </font>
    <font>
      <b/>
      <i/>
      <sz val="24"/>
      <color theme="1"/>
      <name val="Aptos Narrow"/>
      <scheme val="minor"/>
    </font>
    <font>
      <sz val="25"/>
      <color theme="0"/>
      <name val="Aptos Narrow"/>
      <family val="2"/>
      <scheme val="minor"/>
    </font>
    <font>
      <b/>
      <sz val="36"/>
      <color theme="0"/>
      <name val="Aptos Narrow"/>
      <family val="2"/>
      <scheme val="minor"/>
    </font>
    <font>
      <i/>
      <sz val="25"/>
      <color theme="0" tint="-0.499984740745262"/>
      <name val="Aptos Narrow"/>
      <family val="2"/>
      <scheme val="minor"/>
    </font>
    <font>
      <b/>
      <sz val="26"/>
      <color theme="0"/>
      <name val="Aptos Narrow"/>
      <family val="2"/>
      <scheme val="minor"/>
    </font>
    <font>
      <sz val="26"/>
      <color theme="0"/>
      <name val="Aptos Narrow"/>
      <family val="2"/>
      <scheme val="minor"/>
    </font>
    <font>
      <b/>
      <sz val="25"/>
      <color theme="0"/>
      <name val="Aptos Narrow"/>
      <family val="2"/>
      <scheme val="minor"/>
    </font>
    <font>
      <b/>
      <sz val="23"/>
      <color theme="0"/>
      <name val="Aptos Narrow"/>
      <family val="2"/>
      <scheme val="minor"/>
    </font>
    <font>
      <i/>
      <sz val="25"/>
      <color theme="0" tint="-0.34998626667073579"/>
      <name val="Aptos Narrow"/>
      <family val="2"/>
      <scheme val="minor"/>
    </font>
    <font>
      <sz val="25"/>
      <color theme="0" tint="-0.34998626667073579"/>
      <name val="Aptos Narrow"/>
      <family val="2"/>
      <scheme val="minor"/>
    </font>
    <font>
      <b/>
      <sz val="25"/>
      <color theme="1"/>
      <name val="Aptos Narrow"/>
      <family val="2"/>
      <scheme val="minor"/>
    </font>
    <font>
      <i/>
      <sz val="20"/>
      <color theme="0" tint="-0.499984740745262"/>
      <name val="Aptos Narrow"/>
      <family val="2"/>
      <scheme val="minor"/>
    </font>
    <font>
      <sz val="25"/>
      <color theme="0" tint="-0.499984740745262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3"/>
      <color rgb="FF212529"/>
      <name val="MyFirstFont"/>
    </font>
    <font>
      <sz val="10"/>
      <color rgb="FF000000"/>
      <name val="MyFirstFont"/>
    </font>
    <font>
      <sz val="13"/>
      <color rgb="FF000000"/>
      <name val="MyFirstFont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  <font>
      <b/>
      <sz val="12"/>
      <color theme="1"/>
      <name val="Aptos Narrow"/>
      <scheme val="minor"/>
    </font>
    <font>
      <b/>
      <sz val="25"/>
      <color theme="1"/>
      <name val="Aptos Narrow"/>
      <scheme val="minor"/>
    </font>
    <font>
      <sz val="25"/>
      <color theme="1"/>
      <name val="Aptos Narrow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5" tint="-0.499984740745262"/>
        <bgColor indexed="64"/>
      </patternFill>
    </fill>
  </fills>
  <borders count="1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 diagonalUp="1">
      <left/>
      <right style="thin">
        <color theme="0"/>
      </right>
      <top/>
      <bottom/>
      <diagonal style="thin">
        <color theme="0"/>
      </diagonal>
    </border>
    <border diagonalUp="1">
      <left style="thin">
        <color theme="0"/>
      </left>
      <right style="thin">
        <color theme="0"/>
      </right>
      <top/>
      <bottom/>
      <diagonal style="thin">
        <color theme="0"/>
      </diagonal>
    </border>
    <border>
      <left/>
      <right/>
      <top style="thin">
        <color theme="1"/>
      </top>
      <bottom style="double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/>
      <bottom style="thin">
        <color indexed="64"/>
      </bottom>
      <diagonal/>
    </border>
    <border>
      <left/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 style="thin">
        <color auto="1"/>
      </top>
      <bottom/>
      <diagonal/>
    </border>
    <border>
      <left/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double">
        <color theme="1"/>
      </left>
      <right/>
      <top style="medium">
        <color theme="1"/>
      </top>
      <bottom style="medium">
        <color theme="1"/>
      </bottom>
      <diagonal/>
    </border>
    <border>
      <left style="double">
        <color theme="1"/>
      </left>
      <right/>
      <top style="medium">
        <color theme="1"/>
      </top>
      <bottom style="thin">
        <color theme="1"/>
      </bottom>
      <diagonal/>
    </border>
    <border>
      <left style="double">
        <color theme="1"/>
      </left>
      <right/>
      <top/>
      <bottom style="medium">
        <color theme="1"/>
      </bottom>
      <diagonal/>
    </border>
    <border>
      <left style="double">
        <color theme="1"/>
      </left>
      <right/>
      <top/>
      <bottom style="thin">
        <color indexed="64"/>
      </bottom>
      <diagonal/>
    </border>
    <border>
      <left style="double">
        <color theme="1"/>
      </left>
      <right/>
      <top style="thin">
        <color indexed="64"/>
      </top>
      <bottom style="thin">
        <color indexed="64"/>
      </bottom>
      <diagonal/>
    </border>
    <border>
      <left style="double">
        <color theme="1"/>
      </left>
      <right/>
      <top/>
      <bottom/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theme="1"/>
      </right>
      <top/>
      <bottom style="medium">
        <color theme="1"/>
      </bottom>
      <diagonal/>
    </border>
    <border>
      <left/>
      <right/>
      <top style="thin">
        <color theme="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medium">
        <color theme="1"/>
      </right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medium">
        <color theme="1"/>
      </bottom>
      <diagonal/>
    </border>
    <border>
      <left/>
      <right style="double">
        <color theme="1"/>
      </right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/>
      <right style="double">
        <color theme="1"/>
      </right>
      <top/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/>
      <top/>
      <bottom style="double">
        <color theme="1"/>
      </bottom>
      <diagonal/>
    </border>
    <border>
      <left/>
      <right style="double">
        <color theme="1"/>
      </right>
      <top style="medium">
        <color theme="1"/>
      </top>
      <bottom/>
      <diagonal/>
    </border>
    <border>
      <left/>
      <right style="double">
        <color theme="1"/>
      </right>
      <top/>
      <bottom/>
      <diagonal/>
    </border>
    <border>
      <left/>
      <right style="double">
        <color theme="1"/>
      </right>
      <top/>
      <bottom style="thin">
        <color indexed="64"/>
      </bottom>
      <diagonal/>
    </border>
    <border>
      <left/>
      <right style="double">
        <color theme="1"/>
      </right>
      <top style="thin">
        <color indexed="64"/>
      </top>
      <bottom style="thin">
        <color indexed="64"/>
      </bottom>
      <diagonal/>
    </border>
    <border>
      <left/>
      <right style="double">
        <color theme="1"/>
      </right>
      <top style="thin">
        <color auto="1"/>
      </top>
      <bottom/>
      <diagonal/>
    </border>
    <border>
      <left/>
      <right style="thin">
        <color auto="1"/>
      </right>
      <top/>
      <bottom style="double">
        <color theme="1"/>
      </bottom>
      <diagonal/>
    </border>
    <border>
      <left style="thin">
        <color auto="1"/>
      </left>
      <right style="thin">
        <color auto="1"/>
      </right>
      <top/>
      <bottom style="double">
        <color theme="1"/>
      </bottom>
      <diagonal/>
    </border>
    <border>
      <left style="thin">
        <color auto="1"/>
      </left>
      <right/>
      <top/>
      <bottom style="double">
        <color theme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 style="thin">
        <color theme="1"/>
      </bottom>
      <diagonal/>
    </border>
    <border>
      <left/>
      <right style="medium">
        <color theme="1"/>
      </right>
      <top/>
      <bottom style="thin">
        <color theme="1"/>
      </bottom>
      <diagonal/>
    </border>
    <border>
      <left style="medium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theme="1"/>
      </left>
      <right/>
      <top style="thin">
        <color theme="1"/>
      </top>
      <bottom/>
      <diagonal/>
    </border>
    <border>
      <left/>
      <right style="medium">
        <color theme="1"/>
      </right>
      <top style="thin">
        <color theme="1"/>
      </top>
      <bottom/>
      <diagonal/>
    </border>
    <border>
      <left style="medium">
        <color theme="1"/>
      </left>
      <right/>
      <top style="thin">
        <color auto="1"/>
      </top>
      <bottom style="medium">
        <color theme="1"/>
      </bottom>
      <diagonal/>
    </border>
    <border>
      <left/>
      <right/>
      <top style="thin">
        <color auto="1"/>
      </top>
      <bottom style="medium">
        <color theme="1"/>
      </bottom>
      <diagonal/>
    </border>
    <border>
      <left/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indexed="64"/>
      </bottom>
      <diagonal/>
    </border>
    <border>
      <left style="thin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medium">
        <color theme="1"/>
      </bottom>
      <diagonal/>
    </border>
    <border>
      <left/>
      <right style="double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medium">
        <color theme="1"/>
      </right>
      <top style="thin">
        <color theme="1"/>
      </top>
      <bottom style="double">
        <color theme="1"/>
      </bottom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/>
      <right style="medium">
        <color theme="1"/>
      </right>
      <top style="thin">
        <color theme="1"/>
      </top>
      <bottom style="medium">
        <color theme="1"/>
      </bottom>
      <diagonal/>
    </border>
    <border>
      <left/>
      <right style="double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 style="double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/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 style="medium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auto="1"/>
      </top>
      <bottom/>
      <diagonal/>
    </border>
    <border diagonalUp="1">
      <left style="medium">
        <color theme="1"/>
      </left>
      <right style="thin">
        <color theme="1"/>
      </right>
      <top/>
      <bottom/>
      <diagonal style="thin">
        <color theme="0"/>
      </diagonal>
    </border>
    <border diagonalUp="1">
      <left style="thin">
        <color theme="0"/>
      </left>
      <right style="medium">
        <color theme="1"/>
      </right>
      <top/>
      <bottom/>
      <diagonal style="thin">
        <color theme="0"/>
      </diagonal>
    </border>
    <border>
      <left style="medium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theme="1"/>
      </bottom>
      <diagonal/>
    </border>
    <border>
      <left/>
      <right style="medium">
        <color indexed="64"/>
      </right>
      <top style="medium">
        <color theme="1"/>
      </top>
      <bottom style="thin">
        <color theme="1"/>
      </bottom>
      <diagonal/>
    </border>
    <border>
      <left style="medium">
        <color indexed="64"/>
      </left>
      <right/>
      <top style="medium">
        <color theme="1"/>
      </top>
      <bottom style="medium">
        <color indexed="64"/>
      </bottom>
      <diagonal/>
    </border>
    <border>
      <left/>
      <right/>
      <top style="medium">
        <color theme="1"/>
      </top>
      <bottom style="medium">
        <color indexed="64"/>
      </bottom>
      <diagonal/>
    </border>
    <border>
      <left/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/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theme="1"/>
      </top>
      <bottom style="medium">
        <color theme="1"/>
      </bottom>
      <diagonal/>
    </border>
    <border>
      <left/>
      <right style="medium">
        <color indexed="64"/>
      </right>
      <top style="thin">
        <color theme="1"/>
      </top>
      <bottom style="medium">
        <color theme="1"/>
      </bottom>
      <diagonal/>
    </border>
    <border>
      <left style="medium">
        <color indexed="64"/>
      </left>
      <right/>
      <top style="thin">
        <color theme="1"/>
      </top>
      <bottom style="medium">
        <color indexed="64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6"/>
      </top>
      <bottom style="medium">
        <color theme="6"/>
      </bottom>
      <diagonal/>
    </border>
    <border>
      <left style="thin">
        <color theme="6"/>
      </left>
      <right style="thin">
        <color theme="6"/>
      </right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medium">
        <color theme="6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medium">
        <color theme="0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44" fontId="1" fillId="0" borderId="0" applyFont="0" applyFill="0" applyBorder="0" applyAlignment="0" applyProtection="0"/>
    <xf numFmtId="170" fontId="9" fillId="3" borderId="131">
      <alignment horizontal="center" vertical="center"/>
    </xf>
  </cellStyleXfs>
  <cellXfs count="751">
    <xf numFmtId="0" fontId="0" fillId="0" borderId="0" xfId="0"/>
    <xf numFmtId="0" fontId="3" fillId="3" borderId="0" xfId="0" applyFont="1" applyFill="1"/>
    <xf numFmtId="0" fontId="4" fillId="3" borderId="0" xfId="0" applyFont="1" applyFill="1"/>
    <xf numFmtId="0" fontId="7" fillId="3" borderId="0" xfId="0" applyFont="1" applyFill="1"/>
    <xf numFmtId="0" fontId="0" fillId="3" borderId="0" xfId="0" applyFill="1"/>
    <xf numFmtId="0" fontId="12" fillId="3" borderId="0" xfId="0" applyFont="1" applyFill="1"/>
    <xf numFmtId="43" fontId="12" fillId="3" borderId="0" xfId="1" applyFont="1" applyFill="1"/>
    <xf numFmtId="0" fontId="13" fillId="2" borderId="4" xfId="0" applyFont="1" applyFill="1" applyBorder="1"/>
    <xf numFmtId="0" fontId="12" fillId="2" borderId="5" xfId="0" applyFont="1" applyFill="1" applyBorder="1"/>
    <xf numFmtId="43" fontId="12" fillId="2" borderId="5" xfId="1" applyFont="1" applyFill="1" applyBorder="1"/>
    <xf numFmtId="0" fontId="12" fillId="2" borderId="6" xfId="0" applyFont="1" applyFill="1" applyBorder="1"/>
    <xf numFmtId="0" fontId="14" fillId="2" borderId="7" xfId="0" applyFont="1" applyFill="1" applyBorder="1"/>
    <xf numFmtId="0" fontId="12" fillId="2" borderId="8" xfId="0" applyFont="1" applyFill="1" applyBorder="1"/>
    <xf numFmtId="43" fontId="12" fillId="2" borderId="8" xfId="1" applyFont="1" applyFill="1" applyBorder="1"/>
    <xf numFmtId="0" fontId="12" fillId="2" borderId="9" xfId="0" applyFont="1" applyFill="1" applyBorder="1"/>
    <xf numFmtId="0" fontId="14" fillId="3" borderId="0" xfId="0" applyFont="1" applyFill="1"/>
    <xf numFmtId="0" fontId="15" fillId="4" borderId="0" xfId="0" applyFont="1" applyFill="1"/>
    <xf numFmtId="43" fontId="15" fillId="4" borderId="0" xfId="1" applyFont="1" applyFill="1"/>
    <xf numFmtId="43" fontId="14" fillId="3" borderId="0" xfId="1" applyFont="1" applyFill="1"/>
    <xf numFmtId="0" fontId="12" fillId="3" borderId="3" xfId="0" applyFont="1" applyFill="1" applyBorder="1"/>
    <xf numFmtId="43" fontId="12" fillId="3" borderId="3" xfId="1" applyFont="1" applyFill="1" applyBorder="1"/>
    <xf numFmtId="0" fontId="15" fillId="5" borderId="0" xfId="0" applyFont="1" applyFill="1"/>
    <xf numFmtId="0" fontId="15" fillId="5" borderId="10" xfId="0" applyFont="1" applyFill="1" applyBorder="1"/>
    <xf numFmtId="43" fontId="15" fillId="5" borderId="10" xfId="1" applyFont="1" applyFill="1" applyBorder="1"/>
    <xf numFmtId="43" fontId="15" fillId="5" borderId="0" xfId="1" applyFont="1" applyFill="1" applyBorder="1"/>
    <xf numFmtId="0" fontId="15" fillId="5" borderId="0" xfId="0" applyFont="1" applyFill="1" applyAlignment="1">
      <alignment horizontal="left" vertical="top" wrapText="1"/>
    </xf>
    <xf numFmtId="43" fontId="15" fillId="5" borderId="0" xfId="1" applyFont="1" applyFill="1" applyAlignment="1">
      <alignment horizontal="center" vertical="top" wrapText="1"/>
    </xf>
    <xf numFmtId="0" fontId="14" fillId="3" borderId="1" xfId="0" applyFont="1" applyFill="1" applyBorder="1"/>
    <xf numFmtId="43" fontId="14" fillId="3" borderId="1" xfId="1" applyFont="1" applyFill="1" applyBorder="1"/>
    <xf numFmtId="0" fontId="12" fillId="3" borderId="2" xfId="0" applyFont="1" applyFill="1" applyBorder="1"/>
    <xf numFmtId="0" fontId="12" fillId="3" borderId="2" xfId="0" applyFont="1" applyFill="1" applyBorder="1" applyAlignment="1">
      <alignment horizontal="right"/>
    </xf>
    <xf numFmtId="43" fontId="12" fillId="3" borderId="2" xfId="1" applyFont="1" applyFill="1" applyBorder="1"/>
    <xf numFmtId="0" fontId="12" fillId="3" borderId="2" xfId="0" applyFont="1" applyFill="1" applyBorder="1" applyAlignment="1">
      <alignment vertical="top" wrapText="1"/>
    </xf>
    <xf numFmtId="0" fontId="12" fillId="3" borderId="3" xfId="0" applyFont="1" applyFill="1" applyBorder="1" applyAlignment="1">
      <alignment vertical="top" wrapText="1"/>
    </xf>
    <xf numFmtId="0" fontId="12" fillId="3" borderId="2" xfId="0" applyFont="1" applyFill="1" applyBorder="1" applyAlignment="1">
      <alignment vertical="center"/>
    </xf>
    <xf numFmtId="0" fontId="12" fillId="3" borderId="2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 vertical="center"/>
    </xf>
    <xf numFmtId="3" fontId="16" fillId="0" borderId="0" xfId="0" applyNumberFormat="1" applyFont="1"/>
    <xf numFmtId="0" fontId="19" fillId="0" borderId="0" xfId="0" applyFont="1"/>
    <xf numFmtId="0" fontId="20" fillId="0" borderId="0" xfId="3"/>
    <xf numFmtId="0" fontId="18" fillId="0" borderId="0" xfId="0" applyFont="1"/>
    <xf numFmtId="4" fontId="0" fillId="0" borderId="0" xfId="0" applyNumberFormat="1"/>
    <xf numFmtId="4" fontId="18" fillId="0" borderId="0" xfId="0" applyNumberFormat="1" applyFont="1"/>
    <xf numFmtId="4" fontId="19" fillId="0" borderId="0" xfId="0" applyNumberFormat="1" applyFont="1"/>
    <xf numFmtId="17" fontId="21" fillId="0" borderId="0" xfId="0" applyNumberFormat="1" applyFont="1"/>
    <xf numFmtId="0" fontId="22" fillId="0" borderId="0" xfId="0" applyFont="1"/>
    <xf numFmtId="3" fontId="22" fillId="0" borderId="0" xfId="0" applyNumberFormat="1" applyFont="1"/>
    <xf numFmtId="0" fontId="16" fillId="0" borderId="0" xfId="0" applyFont="1"/>
    <xf numFmtId="0" fontId="3" fillId="6" borderId="0" xfId="0" applyFont="1" applyFill="1"/>
    <xf numFmtId="0" fontId="4" fillId="6" borderId="0" xfId="0" applyFont="1" applyFill="1"/>
    <xf numFmtId="0" fontId="25" fillId="3" borderId="1" xfId="0" applyFont="1" applyFill="1" applyBorder="1"/>
    <xf numFmtId="0" fontId="25" fillId="3" borderId="3" xfId="0" applyFont="1" applyFill="1" applyBorder="1"/>
    <xf numFmtId="0" fontId="3" fillId="6" borderId="11" xfId="0" applyFont="1" applyFill="1" applyBorder="1"/>
    <xf numFmtId="0" fontId="3" fillId="6" borderId="12" xfId="0" applyFont="1" applyFill="1" applyBorder="1"/>
    <xf numFmtId="0" fontId="4" fillId="7" borderId="1" xfId="0" applyFont="1" applyFill="1" applyBorder="1"/>
    <xf numFmtId="0" fontId="3" fillId="7" borderId="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24" fillId="6" borderId="13" xfId="0" applyFont="1" applyFill="1" applyBorder="1"/>
    <xf numFmtId="0" fontId="3" fillId="6" borderId="13" xfId="0" applyFont="1" applyFill="1" applyBorder="1"/>
    <xf numFmtId="10" fontId="0" fillId="0" borderId="0" xfId="2" applyNumberFormat="1" applyFont="1"/>
    <xf numFmtId="0" fontId="4" fillId="7" borderId="1" xfId="0" applyFont="1" applyFill="1" applyBorder="1" applyAlignment="1">
      <alignment horizontal="center"/>
    </xf>
    <xf numFmtId="44" fontId="30" fillId="3" borderId="2" xfId="0" applyNumberFormat="1" applyFont="1" applyFill="1" applyBorder="1"/>
    <xf numFmtId="44" fontId="31" fillId="0" borderId="0" xfId="0" applyNumberFormat="1" applyFont="1"/>
    <xf numFmtId="0" fontId="26" fillId="9" borderId="3" xfId="0" applyFont="1" applyFill="1" applyBorder="1"/>
    <xf numFmtId="0" fontId="26" fillId="9" borderId="2" xfId="0" applyFont="1" applyFill="1" applyBorder="1"/>
    <xf numFmtId="44" fontId="28" fillId="9" borderId="2" xfId="0" applyNumberFormat="1" applyFont="1" applyFill="1" applyBorder="1"/>
    <xf numFmtId="0" fontId="26" fillId="9" borderId="1" xfId="0" applyFont="1" applyFill="1" applyBorder="1"/>
    <xf numFmtId="44" fontId="27" fillId="9" borderId="1" xfId="0" applyNumberFormat="1" applyFont="1" applyFill="1" applyBorder="1"/>
    <xf numFmtId="0" fontId="33" fillId="3" borderId="2" xfId="0" applyFont="1" applyFill="1" applyBorder="1"/>
    <xf numFmtId="44" fontId="33" fillId="3" borderId="2" xfId="0" applyNumberFormat="1" applyFont="1" applyFill="1" applyBorder="1" applyAlignment="1">
      <alignment horizontal="center"/>
    </xf>
    <xf numFmtId="10" fontId="33" fillId="3" borderId="2" xfId="0" applyNumberFormat="1" applyFont="1" applyFill="1" applyBorder="1"/>
    <xf numFmtId="10" fontId="33" fillId="3" borderId="2" xfId="2" applyNumberFormat="1" applyFont="1" applyFill="1" applyBorder="1"/>
    <xf numFmtId="44" fontId="30" fillId="9" borderId="2" xfId="0" applyNumberFormat="1" applyFont="1" applyFill="1" applyBorder="1"/>
    <xf numFmtId="0" fontId="2" fillId="3" borderId="0" xfId="0" applyFont="1" applyFill="1"/>
    <xf numFmtId="0" fontId="15" fillId="3" borderId="0" xfId="0" applyFont="1" applyFill="1"/>
    <xf numFmtId="0" fontId="26" fillId="9" borderId="21" xfId="0" applyFont="1" applyFill="1" applyBorder="1"/>
    <xf numFmtId="44" fontId="27" fillId="9" borderId="22" xfId="0" applyNumberFormat="1" applyFont="1" applyFill="1" applyBorder="1"/>
    <xf numFmtId="0" fontId="33" fillId="3" borderId="23" xfId="0" applyFont="1" applyFill="1" applyBorder="1"/>
    <xf numFmtId="10" fontId="33" fillId="3" borderId="24" xfId="0" applyNumberFormat="1" applyFont="1" applyFill="1" applyBorder="1"/>
    <xf numFmtId="0" fontId="26" fillId="9" borderId="23" xfId="0" applyFont="1" applyFill="1" applyBorder="1"/>
    <xf numFmtId="44" fontId="28" fillId="9" borderId="24" xfId="0" applyNumberFormat="1" applyFont="1" applyFill="1" applyBorder="1"/>
    <xf numFmtId="10" fontId="33" fillId="3" borderId="24" xfId="2" applyNumberFormat="1" applyFont="1" applyFill="1" applyBorder="1"/>
    <xf numFmtId="44" fontId="30" fillId="9" borderId="24" xfId="0" applyNumberFormat="1" applyFont="1" applyFill="1" applyBorder="1"/>
    <xf numFmtId="0" fontId="33" fillId="0" borderId="25" xfId="0" applyFont="1" applyBorder="1"/>
    <xf numFmtId="0" fontId="26" fillId="9" borderId="26" xfId="3" applyFont="1" applyFill="1" applyBorder="1"/>
    <xf numFmtId="0" fontId="26" fillId="9" borderId="32" xfId="0" applyFont="1" applyFill="1" applyBorder="1"/>
    <xf numFmtId="0" fontId="33" fillId="3" borderId="33" xfId="0" applyFont="1" applyFill="1" applyBorder="1"/>
    <xf numFmtId="0" fontId="26" fillId="9" borderId="33" xfId="0" applyFont="1" applyFill="1" applyBorder="1"/>
    <xf numFmtId="0" fontId="26" fillId="3" borderId="19" xfId="0" applyFont="1" applyFill="1" applyBorder="1"/>
    <xf numFmtId="0" fontId="29" fillId="3" borderId="18" xfId="0" applyFont="1" applyFill="1" applyBorder="1"/>
    <xf numFmtId="44" fontId="26" fillId="3" borderId="19" xfId="0" applyNumberFormat="1" applyFont="1" applyFill="1" applyBorder="1"/>
    <xf numFmtId="44" fontId="26" fillId="3" borderId="20" xfId="0" applyNumberFormat="1" applyFont="1" applyFill="1" applyBorder="1"/>
    <xf numFmtId="0" fontId="33" fillId="3" borderId="3" xfId="0" applyFont="1" applyFill="1" applyBorder="1"/>
    <xf numFmtId="0" fontId="33" fillId="3" borderId="43" xfId="0" applyFont="1" applyFill="1" applyBorder="1"/>
    <xf numFmtId="10" fontId="33" fillId="3" borderId="43" xfId="2" applyNumberFormat="1" applyFont="1" applyFill="1" applyBorder="1"/>
    <xf numFmtId="0" fontId="26" fillId="9" borderId="43" xfId="0" applyFont="1" applyFill="1" applyBorder="1"/>
    <xf numFmtId="9" fontId="26" fillId="9" borderId="43" xfId="0" applyNumberFormat="1" applyFont="1" applyFill="1" applyBorder="1"/>
    <xf numFmtId="0" fontId="33" fillId="0" borderId="43" xfId="0" applyFont="1" applyBorder="1"/>
    <xf numFmtId="0" fontId="32" fillId="3" borderId="28" xfId="0" applyFont="1" applyFill="1" applyBorder="1"/>
    <xf numFmtId="0" fontId="3" fillId="3" borderId="28" xfId="0" applyFont="1" applyFill="1" applyBorder="1"/>
    <xf numFmtId="10" fontId="33" fillId="3" borderId="44" xfId="2" applyNumberFormat="1" applyFont="1" applyFill="1" applyBorder="1"/>
    <xf numFmtId="0" fontId="26" fillId="9" borderId="46" xfId="0" applyFont="1" applyFill="1" applyBorder="1"/>
    <xf numFmtId="0" fontId="33" fillId="3" borderId="47" xfId="0" applyFont="1" applyFill="1" applyBorder="1"/>
    <xf numFmtId="0" fontId="26" fillId="9" borderId="47" xfId="0" applyFont="1" applyFill="1" applyBorder="1"/>
    <xf numFmtId="0" fontId="26" fillId="3" borderId="48" xfId="0" applyFont="1" applyFill="1" applyBorder="1"/>
    <xf numFmtId="0" fontId="2" fillId="10" borderId="0" xfId="0" applyFont="1" applyFill="1"/>
    <xf numFmtId="0" fontId="0" fillId="10" borderId="0" xfId="0" applyFill="1"/>
    <xf numFmtId="0" fontId="34" fillId="3" borderId="0" xfId="0" applyFont="1" applyFill="1"/>
    <xf numFmtId="0" fontId="28" fillId="3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/>
    </xf>
    <xf numFmtId="0" fontId="3" fillId="6" borderId="50" xfId="0" applyFont="1" applyFill="1" applyBorder="1"/>
    <xf numFmtId="0" fontId="3" fillId="6" borderId="20" xfId="0" applyFont="1" applyFill="1" applyBorder="1"/>
    <xf numFmtId="0" fontId="35" fillId="6" borderId="0" xfId="0" applyFont="1" applyFill="1"/>
    <xf numFmtId="0" fontId="3" fillId="6" borderId="1" xfId="0" applyFont="1" applyFill="1" applyBorder="1"/>
    <xf numFmtId="0" fontId="4" fillId="6" borderId="51" xfId="0" applyFont="1" applyFill="1" applyBorder="1"/>
    <xf numFmtId="0" fontId="3" fillId="6" borderId="43" xfId="0" applyFont="1" applyFill="1" applyBorder="1"/>
    <xf numFmtId="0" fontId="3" fillId="6" borderId="52" xfId="0" applyFont="1" applyFill="1" applyBorder="1"/>
    <xf numFmtId="0" fontId="3" fillId="6" borderId="48" xfId="0" applyFont="1" applyFill="1" applyBorder="1"/>
    <xf numFmtId="0" fontId="3" fillId="6" borderId="53" xfId="0" applyFont="1" applyFill="1" applyBorder="1"/>
    <xf numFmtId="0" fontId="3" fillId="6" borderId="47" xfId="0" applyFont="1" applyFill="1" applyBorder="1"/>
    <xf numFmtId="0" fontId="3" fillId="6" borderId="54" xfId="0" applyFont="1" applyFill="1" applyBorder="1"/>
    <xf numFmtId="0" fontId="3" fillId="6" borderId="55" xfId="0" applyFont="1" applyFill="1" applyBorder="1"/>
    <xf numFmtId="0" fontId="3" fillId="6" borderId="56" xfId="0" applyFont="1" applyFill="1" applyBorder="1"/>
    <xf numFmtId="44" fontId="4" fillId="6" borderId="43" xfId="0" applyNumberFormat="1" applyFont="1" applyFill="1" applyBorder="1"/>
    <xf numFmtId="9" fontId="3" fillId="6" borderId="0" xfId="2" applyFont="1" applyFill="1"/>
    <xf numFmtId="0" fontId="36" fillId="6" borderId="0" xfId="0" applyFont="1" applyFill="1"/>
    <xf numFmtId="0" fontId="37" fillId="6" borderId="0" xfId="0" applyFont="1" applyFill="1"/>
    <xf numFmtId="0" fontId="38" fillId="6" borderId="0" xfId="0" applyFont="1" applyFill="1"/>
    <xf numFmtId="3" fontId="22" fillId="3" borderId="0" xfId="0" applyNumberFormat="1" applyFont="1" applyFill="1"/>
    <xf numFmtId="0" fontId="39" fillId="6" borderId="0" xfId="0" applyFont="1" applyFill="1"/>
    <xf numFmtId="10" fontId="3" fillId="6" borderId="0" xfId="0" applyNumberFormat="1" applyFont="1" applyFill="1"/>
    <xf numFmtId="0" fontId="41" fillId="3" borderId="57" xfId="0" applyFont="1" applyFill="1" applyBorder="1"/>
    <xf numFmtId="0" fontId="41" fillId="3" borderId="58" xfId="0" applyFont="1" applyFill="1" applyBorder="1"/>
    <xf numFmtId="0" fontId="41" fillId="3" borderId="59" xfId="0" applyFont="1" applyFill="1" applyBorder="1"/>
    <xf numFmtId="15" fontId="41" fillId="3" borderId="60" xfId="0" applyNumberFormat="1" applyFont="1" applyFill="1" applyBorder="1"/>
    <xf numFmtId="0" fontId="42" fillId="3" borderId="61" xfId="0" applyFont="1" applyFill="1" applyBorder="1"/>
    <xf numFmtId="0" fontId="42" fillId="3" borderId="62" xfId="0" applyFont="1" applyFill="1" applyBorder="1"/>
    <xf numFmtId="164" fontId="3" fillId="6" borderId="0" xfId="2" applyNumberFormat="1" applyFont="1" applyFill="1"/>
    <xf numFmtId="10" fontId="3" fillId="6" borderId="0" xfId="2" applyNumberFormat="1" applyFont="1" applyFill="1"/>
    <xf numFmtId="0" fontId="3" fillId="6" borderId="35" xfId="0" applyFont="1" applyFill="1" applyBorder="1"/>
    <xf numFmtId="0" fontId="4" fillId="6" borderId="14" xfId="0" applyFont="1" applyFill="1" applyBorder="1"/>
    <xf numFmtId="0" fontId="3" fillId="6" borderId="36" xfId="0" applyFont="1" applyFill="1" applyBorder="1"/>
    <xf numFmtId="0" fontId="3" fillId="6" borderId="25" xfId="0" applyFont="1" applyFill="1" applyBorder="1"/>
    <xf numFmtId="0" fontId="3" fillId="6" borderId="28" xfId="0" applyFont="1" applyFill="1" applyBorder="1"/>
    <xf numFmtId="0" fontId="3" fillId="6" borderId="18" xfId="0" applyFont="1" applyFill="1" applyBorder="1"/>
    <xf numFmtId="0" fontId="3" fillId="6" borderId="19" xfId="0" applyFont="1" applyFill="1" applyBorder="1"/>
    <xf numFmtId="0" fontId="3" fillId="6" borderId="64" xfId="0" applyFont="1" applyFill="1" applyBorder="1"/>
    <xf numFmtId="0" fontId="3" fillId="7" borderId="63" xfId="0" applyFont="1" applyFill="1" applyBorder="1"/>
    <xf numFmtId="0" fontId="3" fillId="7" borderId="35" xfId="0" applyFont="1" applyFill="1" applyBorder="1"/>
    <xf numFmtId="0" fontId="3" fillId="7" borderId="64" xfId="0" applyFont="1" applyFill="1" applyBorder="1"/>
    <xf numFmtId="2" fontId="3" fillId="7" borderId="64" xfId="0" applyNumberFormat="1" applyFont="1" applyFill="1" applyBorder="1"/>
    <xf numFmtId="0" fontId="3" fillId="6" borderId="66" xfId="0" applyFont="1" applyFill="1" applyBorder="1"/>
    <xf numFmtId="0" fontId="3" fillId="6" borderId="67" xfId="0" applyFont="1" applyFill="1" applyBorder="1"/>
    <xf numFmtId="2" fontId="3" fillId="6" borderId="43" xfId="0" applyNumberFormat="1" applyFont="1" applyFill="1" applyBorder="1"/>
    <xf numFmtId="0" fontId="3" fillId="6" borderId="44" xfId="0" applyFont="1" applyFill="1" applyBorder="1"/>
    <xf numFmtId="0" fontId="3" fillId="6" borderId="68" xfId="0" applyFont="1" applyFill="1" applyBorder="1"/>
    <xf numFmtId="0" fontId="3" fillId="6" borderId="42" xfId="0" applyFont="1" applyFill="1" applyBorder="1"/>
    <xf numFmtId="0" fontId="3" fillId="6" borderId="69" xfId="0" applyFont="1" applyFill="1" applyBorder="1"/>
    <xf numFmtId="0" fontId="3" fillId="6" borderId="49" xfId="0" applyFont="1" applyFill="1" applyBorder="1"/>
    <xf numFmtId="0" fontId="3" fillId="6" borderId="15" xfId="0" applyFont="1" applyFill="1" applyBorder="1"/>
    <xf numFmtId="0" fontId="3" fillId="6" borderId="16" xfId="0" applyFont="1" applyFill="1" applyBorder="1"/>
    <xf numFmtId="0" fontId="3" fillId="6" borderId="17" xfId="0" applyFont="1" applyFill="1" applyBorder="1"/>
    <xf numFmtId="10" fontId="3" fillId="6" borderId="43" xfId="0" applyNumberFormat="1" applyFont="1" applyFill="1" applyBorder="1"/>
    <xf numFmtId="0" fontId="38" fillId="7" borderId="63" xfId="0" applyFont="1" applyFill="1" applyBorder="1"/>
    <xf numFmtId="0" fontId="38" fillId="11" borderId="63" xfId="0" applyFont="1" applyFill="1" applyBorder="1"/>
    <xf numFmtId="0" fontId="3" fillId="11" borderId="35" xfId="0" applyFont="1" applyFill="1" applyBorder="1"/>
    <xf numFmtId="0" fontId="3" fillId="11" borderId="64" xfId="0" applyFont="1" applyFill="1" applyBorder="1"/>
    <xf numFmtId="0" fontId="4" fillId="6" borderId="35" xfId="0" applyFont="1" applyFill="1" applyBorder="1"/>
    <xf numFmtId="10" fontId="4" fillId="11" borderId="35" xfId="2" applyNumberFormat="1" applyFont="1" applyFill="1" applyBorder="1"/>
    <xf numFmtId="9" fontId="3" fillId="6" borderId="0" xfId="0" applyNumberFormat="1" applyFont="1" applyFill="1"/>
    <xf numFmtId="0" fontId="3" fillId="6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21" xfId="0" applyFont="1" applyFill="1" applyBorder="1" applyAlignment="1">
      <alignment horizontal="right"/>
    </xf>
    <xf numFmtId="0" fontId="3" fillId="6" borderId="23" xfId="0" applyFont="1" applyFill="1" applyBorder="1" applyAlignment="1">
      <alignment horizontal="right"/>
    </xf>
    <xf numFmtId="0" fontId="3" fillId="6" borderId="70" xfId="0" applyFont="1" applyFill="1" applyBorder="1" applyAlignment="1">
      <alignment horizontal="right"/>
    </xf>
    <xf numFmtId="0" fontId="3" fillId="6" borderId="71" xfId="0" applyFont="1" applyFill="1" applyBorder="1" applyAlignment="1">
      <alignment horizontal="center"/>
    </xf>
    <xf numFmtId="0" fontId="3" fillId="6" borderId="71" xfId="0" applyFont="1" applyFill="1" applyBorder="1"/>
    <xf numFmtId="0" fontId="3" fillId="6" borderId="73" xfId="0" applyFont="1" applyFill="1" applyBorder="1"/>
    <xf numFmtId="0" fontId="3" fillId="6" borderId="74" xfId="0" applyFont="1" applyFill="1" applyBorder="1"/>
    <xf numFmtId="9" fontId="3" fillId="6" borderId="75" xfId="0" applyNumberFormat="1" applyFont="1" applyFill="1" applyBorder="1"/>
    <xf numFmtId="0" fontId="45" fillId="6" borderId="16" xfId="0" applyFont="1" applyFill="1" applyBorder="1"/>
    <xf numFmtId="0" fontId="7" fillId="6" borderId="35" xfId="0" applyFont="1" applyFill="1" applyBorder="1"/>
    <xf numFmtId="0" fontId="46" fillId="6" borderId="16" xfId="0" applyFont="1" applyFill="1" applyBorder="1"/>
    <xf numFmtId="0" fontId="46" fillId="6" borderId="76" xfId="0" applyFont="1" applyFill="1" applyBorder="1" applyAlignment="1">
      <alignment horizontal="center"/>
    </xf>
    <xf numFmtId="0" fontId="36" fillId="7" borderId="63" xfId="0" applyFont="1" applyFill="1" applyBorder="1"/>
    <xf numFmtId="0" fontId="4" fillId="7" borderId="35" xfId="0" applyFont="1" applyFill="1" applyBorder="1"/>
    <xf numFmtId="165" fontId="3" fillId="6" borderId="43" xfId="0" applyNumberFormat="1" applyFont="1" applyFill="1" applyBorder="1"/>
    <xf numFmtId="0" fontId="3" fillId="6" borderId="78" xfId="0" applyFont="1" applyFill="1" applyBorder="1"/>
    <xf numFmtId="0" fontId="3" fillId="6" borderId="77" xfId="0" applyFont="1" applyFill="1" applyBorder="1"/>
    <xf numFmtId="44" fontId="4" fillId="6" borderId="77" xfId="0" applyNumberFormat="1" applyFont="1" applyFill="1" applyBorder="1"/>
    <xf numFmtId="0" fontId="4" fillId="6" borderId="25" xfId="0" applyFont="1" applyFill="1" applyBorder="1" applyAlignment="1">
      <alignment horizontal="center"/>
    </xf>
    <xf numFmtId="44" fontId="3" fillId="6" borderId="0" xfId="0" applyNumberFormat="1" applyFont="1" applyFill="1"/>
    <xf numFmtId="44" fontId="3" fillId="6" borderId="28" xfId="0" applyNumberFormat="1" applyFont="1" applyFill="1" applyBorder="1"/>
    <xf numFmtId="0" fontId="4" fillId="6" borderId="18" xfId="0" applyFont="1" applyFill="1" applyBorder="1"/>
    <xf numFmtId="0" fontId="4" fillId="6" borderId="63" xfId="0" applyFont="1" applyFill="1" applyBorder="1" applyAlignment="1">
      <alignment horizontal="center"/>
    </xf>
    <xf numFmtId="0" fontId="3" fillId="6" borderId="79" xfId="0" applyFont="1" applyFill="1" applyBorder="1"/>
    <xf numFmtId="0" fontId="4" fillId="6" borderId="63" xfId="0" applyFont="1" applyFill="1" applyBorder="1"/>
    <xf numFmtId="0" fontId="4" fillId="6" borderId="80" xfId="0" applyFont="1" applyFill="1" applyBorder="1"/>
    <xf numFmtId="0" fontId="3" fillId="6" borderId="81" xfId="0" applyFont="1" applyFill="1" applyBorder="1"/>
    <xf numFmtId="0" fontId="3" fillId="11" borderId="81" xfId="0" applyFont="1" applyFill="1" applyBorder="1"/>
    <xf numFmtId="0" fontId="4" fillId="6" borderId="35" xfId="0" applyFont="1" applyFill="1" applyBorder="1" applyAlignment="1">
      <alignment horizontal="center"/>
    </xf>
    <xf numFmtId="0" fontId="4" fillId="6" borderId="64" xfId="0" applyFont="1" applyFill="1" applyBorder="1" applyAlignment="1">
      <alignment horizontal="center"/>
    </xf>
    <xf numFmtId="165" fontId="3" fillId="6" borderId="17" xfId="0" applyNumberFormat="1" applyFont="1" applyFill="1" applyBorder="1"/>
    <xf numFmtId="0" fontId="3" fillId="6" borderId="67" xfId="0" quotePrefix="1" applyFont="1" applyFill="1" applyBorder="1"/>
    <xf numFmtId="0" fontId="3" fillId="6" borderId="83" xfId="0" applyFont="1" applyFill="1" applyBorder="1"/>
    <xf numFmtId="0" fontId="3" fillId="6" borderId="84" xfId="0" applyFont="1" applyFill="1" applyBorder="1"/>
    <xf numFmtId="0" fontId="3" fillId="6" borderId="85" xfId="0" applyFont="1" applyFill="1" applyBorder="1"/>
    <xf numFmtId="0" fontId="3" fillId="6" borderId="86" xfId="0" applyFont="1" applyFill="1" applyBorder="1"/>
    <xf numFmtId="0" fontId="3" fillId="6" borderId="45" xfId="0" applyFont="1" applyFill="1" applyBorder="1"/>
    <xf numFmtId="165" fontId="28" fillId="3" borderId="2" xfId="0" applyNumberFormat="1" applyFont="1" applyFill="1" applyBorder="1"/>
    <xf numFmtId="165" fontId="27" fillId="3" borderId="2" xfId="0" applyNumberFormat="1" applyFont="1" applyFill="1" applyBorder="1"/>
    <xf numFmtId="165" fontId="31" fillId="3" borderId="2" xfId="0" applyNumberFormat="1" applyFont="1" applyFill="1" applyBorder="1"/>
    <xf numFmtId="165" fontId="28" fillId="3" borderId="3" xfId="0" applyNumberFormat="1" applyFont="1" applyFill="1" applyBorder="1"/>
    <xf numFmtId="165" fontId="25" fillId="3" borderId="2" xfId="0" applyNumberFormat="1" applyFont="1" applyFill="1" applyBorder="1"/>
    <xf numFmtId="165" fontId="3" fillId="6" borderId="3" xfId="0" applyNumberFormat="1" applyFont="1" applyFill="1" applyBorder="1"/>
    <xf numFmtId="44" fontId="24" fillId="6" borderId="13" xfId="0" applyNumberFormat="1" applyFont="1" applyFill="1" applyBorder="1"/>
    <xf numFmtId="0" fontId="28" fillId="12" borderId="0" xfId="0" applyFont="1" applyFill="1"/>
    <xf numFmtId="0" fontId="28" fillId="3" borderId="28" xfId="0" applyFont="1" applyFill="1" applyBorder="1" applyAlignment="1">
      <alignment horizontal="center" vertical="center"/>
    </xf>
    <xf numFmtId="44" fontId="28" fillId="3" borderId="15" xfId="0" applyNumberFormat="1" applyFont="1" applyFill="1" applyBorder="1" applyAlignment="1">
      <alignment horizontal="center" vertical="center"/>
    </xf>
    <xf numFmtId="44" fontId="28" fillId="3" borderId="16" xfId="0" applyNumberFormat="1" applyFont="1" applyFill="1" applyBorder="1" applyAlignment="1">
      <alignment horizontal="center" vertical="center"/>
    </xf>
    <xf numFmtId="44" fontId="28" fillId="3" borderId="17" xfId="0" applyNumberFormat="1" applyFont="1" applyFill="1" applyBorder="1" applyAlignment="1">
      <alignment horizontal="center" vertical="center"/>
    </xf>
    <xf numFmtId="0" fontId="28" fillId="3" borderId="67" xfId="0" applyFont="1" applyFill="1" applyBorder="1" applyAlignment="1">
      <alignment horizontal="center" vertical="center"/>
    </xf>
    <xf numFmtId="0" fontId="28" fillId="3" borderId="43" xfId="0" applyFont="1" applyFill="1" applyBorder="1" applyAlignment="1">
      <alignment horizontal="center" vertical="center"/>
    </xf>
    <xf numFmtId="0" fontId="28" fillId="3" borderId="44" xfId="0" applyFont="1" applyFill="1" applyBorder="1" applyAlignment="1">
      <alignment horizontal="center" vertical="center"/>
    </xf>
    <xf numFmtId="44" fontId="28" fillId="3" borderId="67" xfId="0" applyNumberFormat="1" applyFont="1" applyFill="1" applyBorder="1" applyAlignment="1">
      <alignment horizontal="center" vertical="center"/>
    </xf>
    <xf numFmtId="44" fontId="28" fillId="3" borderId="43" xfId="0" applyNumberFormat="1" applyFont="1" applyFill="1" applyBorder="1" applyAlignment="1">
      <alignment horizontal="center" vertical="center"/>
    </xf>
    <xf numFmtId="44" fontId="28" fillId="3" borderId="44" xfId="0" applyNumberFormat="1" applyFont="1" applyFill="1" applyBorder="1" applyAlignment="1">
      <alignment horizontal="center" vertical="center"/>
    </xf>
    <xf numFmtId="44" fontId="30" fillId="3" borderId="67" xfId="0" applyNumberFormat="1" applyFont="1" applyFill="1" applyBorder="1" applyAlignment="1">
      <alignment horizontal="center" vertical="center"/>
    </xf>
    <xf numFmtId="44" fontId="30" fillId="3" borderId="43" xfId="0" applyNumberFormat="1" applyFont="1" applyFill="1" applyBorder="1" applyAlignment="1">
      <alignment horizontal="center" vertical="center"/>
    </xf>
    <xf numFmtId="44" fontId="30" fillId="3" borderId="44" xfId="0" applyNumberFormat="1" applyFont="1" applyFill="1" applyBorder="1" applyAlignment="1">
      <alignment horizontal="center" vertical="center"/>
    </xf>
    <xf numFmtId="0" fontId="28" fillId="3" borderId="68" xfId="0" applyFont="1" applyFill="1" applyBorder="1" applyAlignment="1">
      <alignment horizontal="center" vertical="center"/>
    </xf>
    <xf numFmtId="0" fontId="28" fillId="3" borderId="42" xfId="0" applyFont="1" applyFill="1" applyBorder="1" applyAlignment="1">
      <alignment horizontal="center" vertical="center"/>
    </xf>
    <xf numFmtId="0" fontId="28" fillId="3" borderId="69" xfId="0" applyFont="1" applyFill="1" applyBorder="1" applyAlignment="1">
      <alignment horizontal="center" vertical="center"/>
    </xf>
    <xf numFmtId="44" fontId="28" fillId="3" borderId="87" xfId="0" applyNumberFormat="1" applyFont="1" applyFill="1" applyBorder="1" applyAlignment="1">
      <alignment horizontal="center" vertical="center"/>
    </xf>
    <xf numFmtId="9" fontId="28" fillId="12" borderId="65" xfId="0" applyNumberFormat="1" applyFont="1" applyFill="1" applyBorder="1"/>
    <xf numFmtId="0" fontId="28" fillId="12" borderId="66" xfId="0" applyFont="1" applyFill="1" applyBorder="1"/>
    <xf numFmtId="0" fontId="47" fillId="6" borderId="2" xfId="0" applyFont="1" applyFill="1" applyBorder="1"/>
    <xf numFmtId="44" fontId="48" fillId="6" borderId="25" xfId="0" applyNumberFormat="1" applyFont="1" applyFill="1" applyBorder="1" applyAlignment="1">
      <alignment horizontal="center"/>
    </xf>
    <xf numFmtId="0" fontId="47" fillId="6" borderId="15" xfId="0" applyFont="1" applyFill="1" applyBorder="1"/>
    <xf numFmtId="165" fontId="47" fillId="6" borderId="17" xfId="0" applyNumberFormat="1" applyFont="1" applyFill="1" applyBorder="1"/>
    <xf numFmtId="0" fontId="48" fillId="6" borderId="67" xfId="0" applyFont="1" applyFill="1" applyBorder="1"/>
    <xf numFmtId="44" fontId="4" fillId="6" borderId="44" xfId="0" applyNumberFormat="1" applyFont="1" applyFill="1" applyBorder="1"/>
    <xf numFmtId="0" fontId="47" fillId="6" borderId="21" xfId="0" applyFont="1" applyFill="1" applyBorder="1"/>
    <xf numFmtId="0" fontId="47" fillId="6" borderId="23" xfId="0" applyFont="1" applyFill="1" applyBorder="1"/>
    <xf numFmtId="0" fontId="47" fillId="6" borderId="26" xfId="0" applyFont="1" applyFill="1" applyBorder="1"/>
    <xf numFmtId="44" fontId="4" fillId="6" borderId="13" xfId="0" applyNumberFormat="1" applyFont="1" applyFill="1" applyBorder="1"/>
    <xf numFmtId="0" fontId="3" fillId="6" borderId="46" xfId="0" applyFont="1" applyFill="1" applyBorder="1"/>
    <xf numFmtId="0" fontId="3" fillId="11" borderId="13" xfId="0" applyFont="1" applyFill="1" applyBorder="1"/>
    <xf numFmtId="0" fontId="47" fillId="6" borderId="67" xfId="0" applyFont="1" applyFill="1" applyBorder="1"/>
    <xf numFmtId="0" fontId="47" fillId="6" borderId="43" xfId="0" applyFont="1" applyFill="1" applyBorder="1"/>
    <xf numFmtId="2" fontId="47" fillId="6" borderId="43" xfId="0" applyNumberFormat="1" applyFont="1" applyFill="1" applyBorder="1"/>
    <xf numFmtId="10" fontId="47" fillId="6" borderId="74" xfId="2" applyNumberFormat="1" applyFont="1" applyFill="1" applyBorder="1"/>
    <xf numFmtId="10" fontId="47" fillId="6" borderId="74" xfId="0" applyNumberFormat="1" applyFont="1" applyFill="1" applyBorder="1"/>
    <xf numFmtId="165" fontId="3" fillId="11" borderId="82" xfId="0" applyNumberFormat="1" applyFont="1" applyFill="1" applyBorder="1"/>
    <xf numFmtId="165" fontId="47" fillId="3" borderId="2" xfId="0" applyNumberFormat="1" applyFont="1" applyFill="1" applyBorder="1"/>
    <xf numFmtId="167" fontId="27" fillId="3" borderId="1" xfId="1" applyNumberFormat="1" applyFont="1" applyFill="1" applyBorder="1"/>
    <xf numFmtId="167" fontId="27" fillId="3" borderId="2" xfId="1" applyNumberFormat="1" applyFont="1" applyFill="1" applyBorder="1"/>
    <xf numFmtId="167" fontId="27" fillId="3" borderId="22" xfId="1" applyNumberFormat="1" applyFont="1" applyFill="1" applyBorder="1"/>
    <xf numFmtId="167" fontId="27" fillId="3" borderId="24" xfId="1" applyNumberFormat="1" applyFont="1" applyFill="1" applyBorder="1"/>
    <xf numFmtId="167" fontId="27" fillId="3" borderId="71" xfId="1" applyNumberFormat="1" applyFont="1" applyFill="1" applyBorder="1"/>
    <xf numFmtId="167" fontId="27" fillId="3" borderId="72" xfId="1" applyNumberFormat="1" applyFont="1" applyFill="1" applyBorder="1"/>
    <xf numFmtId="167" fontId="4" fillId="6" borderId="19" xfId="0" applyNumberFormat="1" applyFont="1" applyFill="1" applyBorder="1"/>
    <xf numFmtId="167" fontId="4" fillId="6" borderId="20" xfId="0" applyNumberFormat="1" applyFont="1" applyFill="1" applyBorder="1"/>
    <xf numFmtId="0" fontId="4" fillId="6" borderId="88" xfId="0" applyFont="1" applyFill="1" applyBorder="1"/>
    <xf numFmtId="0" fontId="3" fillId="6" borderId="89" xfId="0" applyFont="1" applyFill="1" applyBorder="1"/>
    <xf numFmtId="0" fontId="3" fillId="6" borderId="90" xfId="0" applyFont="1" applyFill="1" applyBorder="1"/>
    <xf numFmtId="0" fontId="3" fillId="6" borderId="91" xfId="0" applyFont="1" applyFill="1" applyBorder="1"/>
    <xf numFmtId="44" fontId="50" fillId="9" borderId="3" xfId="0" applyNumberFormat="1" applyFont="1" applyFill="1" applyBorder="1"/>
    <xf numFmtId="44" fontId="50" fillId="9" borderId="27" xfId="0" applyNumberFormat="1" applyFont="1" applyFill="1" applyBorder="1"/>
    <xf numFmtId="165" fontId="3" fillId="3" borderId="1" xfId="0" applyNumberFormat="1" applyFont="1" applyFill="1" applyBorder="1"/>
    <xf numFmtId="167" fontId="49" fillId="6" borderId="92" xfId="0" applyNumberFormat="1" applyFont="1" applyFill="1" applyBorder="1"/>
    <xf numFmtId="165" fontId="25" fillId="3" borderId="3" xfId="0" applyNumberFormat="1" applyFont="1" applyFill="1" applyBorder="1"/>
    <xf numFmtId="167" fontId="49" fillId="6" borderId="43" xfId="0" applyNumberFormat="1" applyFont="1" applyFill="1" applyBorder="1"/>
    <xf numFmtId="0" fontId="49" fillId="6" borderId="43" xfId="0" applyFont="1" applyFill="1" applyBorder="1"/>
    <xf numFmtId="0" fontId="24" fillId="6" borderId="0" xfId="0" applyFont="1" applyFill="1"/>
    <xf numFmtId="44" fontId="24" fillId="6" borderId="0" xfId="0" applyNumberFormat="1" applyFont="1" applyFill="1"/>
    <xf numFmtId="0" fontId="3" fillId="3" borderId="93" xfId="0" applyFont="1" applyFill="1" applyBorder="1"/>
    <xf numFmtId="3" fontId="25" fillId="3" borderId="27" xfId="0" applyNumberFormat="1" applyFont="1" applyFill="1" applyBorder="1"/>
    <xf numFmtId="0" fontId="3" fillId="3" borderId="89" xfId="0" applyFont="1" applyFill="1" applyBorder="1"/>
    <xf numFmtId="0" fontId="25" fillId="3" borderId="22" xfId="0" applyFont="1" applyFill="1" applyBorder="1"/>
    <xf numFmtId="0" fontId="3" fillId="6" borderId="94" xfId="0" applyFont="1" applyFill="1" applyBorder="1"/>
    <xf numFmtId="0" fontId="3" fillId="6" borderId="95" xfId="0" applyFont="1" applyFill="1" applyBorder="1"/>
    <xf numFmtId="0" fontId="4" fillId="6" borderId="64" xfId="0" applyFont="1" applyFill="1" applyBorder="1"/>
    <xf numFmtId="9" fontId="28" fillId="3" borderId="25" xfId="0" applyNumberFormat="1" applyFont="1" applyFill="1" applyBorder="1" applyAlignment="1">
      <alignment horizontal="center" vertical="center"/>
    </xf>
    <xf numFmtId="0" fontId="3" fillId="3" borderId="25" xfId="0" applyFont="1" applyFill="1" applyBorder="1"/>
    <xf numFmtId="44" fontId="48" fillId="6" borderId="0" xfId="0" applyNumberFormat="1" applyFont="1" applyFill="1"/>
    <xf numFmtId="44" fontId="48" fillId="6" borderId="28" xfId="0" applyNumberFormat="1" applyFont="1" applyFill="1" applyBorder="1"/>
    <xf numFmtId="44" fontId="47" fillId="6" borderId="3" xfId="0" applyNumberFormat="1" applyFont="1" applyFill="1" applyBorder="1"/>
    <xf numFmtId="44" fontId="47" fillId="6" borderId="27" xfId="0" applyNumberFormat="1" applyFont="1" applyFill="1" applyBorder="1"/>
    <xf numFmtId="44" fontId="47" fillId="6" borderId="1" xfId="0" applyNumberFormat="1" applyFont="1" applyFill="1" applyBorder="1"/>
    <xf numFmtId="44" fontId="47" fillId="6" borderId="22" xfId="0" applyNumberFormat="1" applyFont="1" applyFill="1" applyBorder="1"/>
    <xf numFmtId="44" fontId="47" fillId="6" borderId="2" xfId="0" applyNumberFormat="1" applyFont="1" applyFill="1" applyBorder="1"/>
    <xf numFmtId="44" fontId="47" fillId="6" borderId="24" xfId="0" applyNumberFormat="1" applyFont="1" applyFill="1" applyBorder="1"/>
    <xf numFmtId="166" fontId="4" fillId="6" borderId="20" xfId="0" applyNumberFormat="1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6" fontId="4" fillId="6" borderId="44" xfId="0" applyNumberFormat="1" applyFont="1" applyFill="1" applyBorder="1" applyAlignment="1">
      <alignment horizontal="center"/>
    </xf>
    <xf numFmtId="165" fontId="3" fillId="6" borderId="47" xfId="0" applyNumberFormat="1" applyFont="1" applyFill="1" applyBorder="1"/>
    <xf numFmtId="0" fontId="51" fillId="0" borderId="0" xfId="0" applyFont="1"/>
    <xf numFmtId="10" fontId="3" fillId="6" borderId="0" xfId="0" applyNumberFormat="1" applyFont="1" applyFill="1" applyAlignment="1">
      <alignment horizontal="center"/>
    </xf>
    <xf numFmtId="0" fontId="4" fillId="6" borderId="49" xfId="0" applyFont="1" applyFill="1" applyBorder="1" applyAlignment="1">
      <alignment horizontal="center"/>
    </xf>
    <xf numFmtId="44" fontId="3" fillId="6" borderId="36" xfId="0" applyNumberFormat="1" applyFont="1" applyFill="1" applyBorder="1" applyAlignment="1">
      <alignment horizontal="center"/>
    </xf>
    <xf numFmtId="9" fontId="3" fillId="6" borderId="19" xfId="0" applyNumberFormat="1" applyFont="1" applyFill="1" applyBorder="1" applyAlignment="1">
      <alignment horizontal="center"/>
    </xf>
    <xf numFmtId="43" fontId="3" fillId="6" borderId="0" xfId="1" applyFont="1" applyFill="1" applyBorder="1"/>
    <xf numFmtId="43" fontId="3" fillId="6" borderId="28" xfId="1" applyFont="1" applyFill="1" applyBorder="1"/>
    <xf numFmtId="0" fontId="4" fillId="6" borderId="25" xfId="0" applyFont="1" applyFill="1" applyBorder="1" applyAlignment="1">
      <alignment horizontal="left"/>
    </xf>
    <xf numFmtId="0" fontId="4" fillId="6" borderId="18" xfId="0" applyFont="1" applyFill="1" applyBorder="1" applyAlignment="1">
      <alignment horizontal="left"/>
    </xf>
    <xf numFmtId="0" fontId="4" fillId="6" borderId="63" xfId="0" applyFont="1" applyFill="1" applyBorder="1" applyAlignment="1">
      <alignment horizontal="left"/>
    </xf>
    <xf numFmtId="0" fontId="4" fillId="6" borderId="29" xfId="0" applyFont="1" applyFill="1" applyBorder="1" applyAlignment="1">
      <alignment horizontal="left"/>
    </xf>
    <xf numFmtId="0" fontId="3" fillId="6" borderId="25" xfId="0" applyFont="1" applyFill="1" applyBorder="1" applyAlignment="1">
      <alignment horizontal="left"/>
    </xf>
    <xf numFmtId="0" fontId="4" fillId="11" borderId="80" xfId="0" applyFont="1" applyFill="1" applyBorder="1" applyAlignment="1">
      <alignment horizontal="left"/>
    </xf>
    <xf numFmtId="0" fontId="44" fillId="11" borderId="80" xfId="0" applyFont="1" applyFill="1" applyBorder="1" applyAlignment="1">
      <alignment horizontal="left" vertical="center"/>
    </xf>
    <xf numFmtId="0" fontId="35" fillId="12" borderId="49" xfId="0" applyFont="1" applyFill="1" applyBorder="1" applyAlignment="1">
      <alignment horizontal="left" vertical="center"/>
    </xf>
    <xf numFmtId="0" fontId="3" fillId="12" borderId="36" xfId="0" applyFont="1" applyFill="1" applyBorder="1"/>
    <xf numFmtId="0" fontId="35" fillId="12" borderId="50" xfId="0" applyFont="1" applyFill="1" applyBorder="1" applyAlignment="1">
      <alignment horizontal="right"/>
    </xf>
    <xf numFmtId="165" fontId="4" fillId="0" borderId="15" xfId="0" applyNumberFormat="1" applyFont="1" applyBorder="1" applyAlignment="1">
      <alignment horizontal="right"/>
    </xf>
    <xf numFmtId="9" fontId="4" fillId="6" borderId="16" xfId="0" applyNumberFormat="1" applyFont="1" applyFill="1" applyBorder="1" applyAlignment="1">
      <alignment horizontal="center"/>
    </xf>
    <xf numFmtId="10" fontId="4" fillId="6" borderId="16" xfId="0" applyNumberFormat="1" applyFont="1" applyFill="1" applyBorder="1" applyAlignment="1">
      <alignment horizontal="center"/>
    </xf>
    <xf numFmtId="9" fontId="4" fillId="6" borderId="17" xfId="0" applyNumberFormat="1" applyFont="1" applyFill="1" applyBorder="1" applyAlignment="1">
      <alignment horizontal="center"/>
    </xf>
    <xf numFmtId="9" fontId="4" fillId="6" borderId="67" xfId="0" applyNumberFormat="1" applyFont="1" applyFill="1" applyBorder="1" applyAlignment="1">
      <alignment horizontal="right"/>
    </xf>
    <xf numFmtId="43" fontId="3" fillId="6" borderId="43" xfId="1" applyFont="1" applyFill="1" applyBorder="1"/>
    <xf numFmtId="43" fontId="3" fillId="6" borderId="44" xfId="1" applyFont="1" applyFill="1" applyBorder="1"/>
    <xf numFmtId="10" fontId="4" fillId="6" borderId="67" xfId="0" applyNumberFormat="1" applyFont="1" applyFill="1" applyBorder="1" applyAlignment="1">
      <alignment horizontal="right"/>
    </xf>
    <xf numFmtId="9" fontId="4" fillId="6" borderId="83" xfId="0" applyNumberFormat="1" applyFont="1" applyFill="1" applyBorder="1" applyAlignment="1">
      <alignment horizontal="right"/>
    </xf>
    <xf numFmtId="43" fontId="3" fillId="6" borderId="84" xfId="1" applyFont="1" applyFill="1" applyBorder="1"/>
    <xf numFmtId="43" fontId="3" fillId="6" borderId="85" xfId="1" applyFont="1" applyFill="1" applyBorder="1"/>
    <xf numFmtId="43" fontId="3" fillId="3" borderId="43" xfId="1" applyFont="1" applyFill="1" applyBorder="1"/>
    <xf numFmtId="166" fontId="40" fillId="8" borderId="34" xfId="0" applyNumberFormat="1" applyFont="1" applyFill="1" applyBorder="1"/>
    <xf numFmtId="43" fontId="3" fillId="7" borderId="64" xfId="1" applyFont="1" applyFill="1" applyBorder="1" applyAlignment="1">
      <alignment horizontal="right"/>
    </xf>
    <xf numFmtId="165" fontId="3" fillId="6" borderId="28" xfId="1" applyNumberFormat="1" applyFont="1" applyFill="1" applyBorder="1"/>
    <xf numFmtId="165" fontId="3" fillId="6" borderId="28" xfId="0" applyNumberFormat="1" applyFont="1" applyFill="1" applyBorder="1"/>
    <xf numFmtId="10" fontId="3" fillId="6" borderId="50" xfId="0" applyNumberFormat="1" applyFont="1" applyFill="1" applyBorder="1"/>
    <xf numFmtId="4" fontId="7" fillId="0" borderId="50" xfId="0" applyNumberFormat="1" applyFont="1" applyBorder="1"/>
    <xf numFmtId="10" fontId="3" fillId="6" borderId="28" xfId="2" applyNumberFormat="1" applyFont="1" applyFill="1" applyBorder="1"/>
    <xf numFmtId="43" fontId="3" fillId="6" borderId="0" xfId="0" applyNumberFormat="1" applyFont="1" applyFill="1"/>
    <xf numFmtId="43" fontId="3" fillId="6" borderId="28" xfId="0" applyNumberFormat="1" applyFont="1" applyFill="1" applyBorder="1"/>
    <xf numFmtId="10" fontId="3" fillId="6" borderId="28" xfId="0" applyNumberFormat="1" applyFont="1" applyFill="1" applyBorder="1"/>
    <xf numFmtId="0" fontId="4" fillId="11" borderId="49" xfId="0" applyFont="1" applyFill="1" applyBorder="1"/>
    <xf numFmtId="0" fontId="4" fillId="11" borderId="63" xfId="0" applyFont="1" applyFill="1" applyBorder="1"/>
    <xf numFmtId="43" fontId="4" fillId="11" borderId="64" xfId="0" applyNumberFormat="1" applyFont="1" applyFill="1" applyBorder="1"/>
    <xf numFmtId="0" fontId="3" fillId="6" borderId="37" xfId="0" applyFont="1" applyFill="1" applyBorder="1"/>
    <xf numFmtId="0" fontId="3" fillId="6" borderId="16" xfId="0" applyFont="1" applyFill="1" applyBorder="1" applyAlignment="1">
      <alignment horizontal="center"/>
    </xf>
    <xf numFmtId="43" fontId="3" fillId="6" borderId="16" xfId="0" applyNumberFormat="1" applyFont="1" applyFill="1" applyBorder="1"/>
    <xf numFmtId="0" fontId="3" fillId="6" borderId="96" xfId="0" applyFont="1" applyFill="1" applyBorder="1"/>
    <xf numFmtId="0" fontId="3" fillId="6" borderId="43" xfId="0" applyFont="1" applyFill="1" applyBorder="1" applyAlignment="1">
      <alignment horizontal="center"/>
    </xf>
    <xf numFmtId="43" fontId="3" fillId="6" borderId="43" xfId="0" applyNumberFormat="1" applyFont="1" applyFill="1" applyBorder="1"/>
    <xf numFmtId="0" fontId="3" fillId="6" borderId="97" xfId="0" applyFont="1" applyFill="1" applyBorder="1"/>
    <xf numFmtId="0" fontId="3" fillId="6" borderId="84" xfId="0" applyFont="1" applyFill="1" applyBorder="1" applyAlignment="1">
      <alignment horizontal="center"/>
    </xf>
    <xf numFmtId="43" fontId="3" fillId="6" borderId="84" xfId="0" applyNumberFormat="1" applyFont="1" applyFill="1" applyBorder="1"/>
    <xf numFmtId="0" fontId="4" fillId="7" borderId="63" xfId="0" applyFont="1" applyFill="1" applyBorder="1"/>
    <xf numFmtId="0" fontId="4" fillId="2" borderId="63" xfId="0" applyFont="1" applyFill="1" applyBorder="1"/>
    <xf numFmtId="0" fontId="3" fillId="2" borderId="35" xfId="0" applyFont="1" applyFill="1" applyBorder="1"/>
    <xf numFmtId="0" fontId="3" fillId="2" borderId="64" xfId="0" applyFont="1" applyFill="1" applyBorder="1"/>
    <xf numFmtId="0" fontId="48" fillId="11" borderId="14" xfId="0" applyFont="1" applyFill="1" applyBorder="1"/>
    <xf numFmtId="0" fontId="48" fillId="11" borderId="35" xfId="0" applyFont="1" applyFill="1" applyBorder="1"/>
    <xf numFmtId="43" fontId="3" fillId="6" borderId="96" xfId="0" applyNumberFormat="1" applyFont="1" applyFill="1" applyBorder="1" applyAlignment="1">
      <alignment horizontal="center" vertical="center"/>
    </xf>
    <xf numFmtId="43" fontId="3" fillId="6" borderId="96" xfId="0" applyNumberFormat="1" applyFont="1" applyFill="1" applyBorder="1" applyAlignment="1">
      <alignment vertical="center"/>
    </xf>
    <xf numFmtId="43" fontId="3" fillId="6" borderId="97" xfId="0" applyNumberFormat="1" applyFont="1" applyFill="1" applyBorder="1" applyAlignment="1">
      <alignment vertical="center"/>
    </xf>
    <xf numFmtId="43" fontId="4" fillId="11" borderId="14" xfId="0" applyNumberFormat="1" applyFont="1" applyFill="1" applyBorder="1"/>
    <xf numFmtId="0" fontId="34" fillId="6" borderId="0" xfId="0" applyFont="1" applyFill="1"/>
    <xf numFmtId="0" fontId="4" fillId="2" borderId="64" xfId="0" applyFont="1" applyFill="1" applyBorder="1"/>
    <xf numFmtId="0" fontId="4" fillId="2" borderId="35" xfId="0" applyFont="1" applyFill="1" applyBorder="1"/>
    <xf numFmtId="0" fontId="4" fillId="11" borderId="35" xfId="0" applyFont="1" applyFill="1" applyBorder="1"/>
    <xf numFmtId="165" fontId="4" fillId="11" borderId="64" xfId="0" applyNumberFormat="1" applyFont="1" applyFill="1" applyBorder="1"/>
    <xf numFmtId="10" fontId="4" fillId="11" borderId="64" xfId="2" applyNumberFormat="1" applyFont="1" applyFill="1" applyBorder="1"/>
    <xf numFmtId="0" fontId="3" fillId="11" borderId="64" xfId="0" applyFont="1" applyFill="1" applyBorder="1" applyAlignment="1">
      <alignment horizontal="right"/>
    </xf>
    <xf numFmtId="0" fontId="3" fillId="11" borderId="79" xfId="0" applyFont="1" applyFill="1" applyBorder="1"/>
    <xf numFmtId="0" fontId="16" fillId="3" borderId="0" xfId="0" applyFont="1" applyFill="1"/>
    <xf numFmtId="3" fontId="16" fillId="3" borderId="0" xfId="0" applyNumberFormat="1" applyFont="1" applyFill="1"/>
    <xf numFmtId="167" fontId="52" fillId="3" borderId="0" xfId="0" applyNumberFormat="1" applyFont="1" applyFill="1"/>
    <xf numFmtId="167" fontId="53" fillId="3" borderId="0" xfId="0" applyNumberFormat="1" applyFont="1" applyFill="1"/>
    <xf numFmtId="3" fontId="3" fillId="3" borderId="0" xfId="0" applyNumberFormat="1" applyFont="1" applyFill="1"/>
    <xf numFmtId="167" fontId="52" fillId="3" borderId="28" xfId="0" applyNumberFormat="1" applyFont="1" applyFill="1" applyBorder="1"/>
    <xf numFmtId="167" fontId="4" fillId="6" borderId="35" xfId="0" applyNumberFormat="1" applyFont="1" applyFill="1" applyBorder="1"/>
    <xf numFmtId="167" fontId="4" fillId="6" borderId="64" xfId="0" applyNumberFormat="1" applyFont="1" applyFill="1" applyBorder="1"/>
    <xf numFmtId="0" fontId="4" fillId="6" borderId="15" xfId="0" applyFont="1" applyFill="1" applyBorder="1"/>
    <xf numFmtId="0" fontId="4" fillId="6" borderId="16" xfId="0" applyFont="1" applyFill="1" applyBorder="1"/>
    <xf numFmtId="0" fontId="4" fillId="6" borderId="17" xfId="0" applyFont="1" applyFill="1" applyBorder="1"/>
    <xf numFmtId="167" fontId="25" fillId="3" borderId="0" xfId="0" applyNumberFormat="1" applyFont="1" applyFill="1"/>
    <xf numFmtId="167" fontId="25" fillId="3" borderId="28" xfId="0" applyNumberFormat="1" applyFont="1" applyFill="1" applyBorder="1"/>
    <xf numFmtId="167" fontId="52" fillId="3" borderId="69" xfId="0" applyNumberFormat="1" applyFont="1" applyFill="1" applyBorder="1"/>
    <xf numFmtId="165" fontId="52" fillId="3" borderId="36" xfId="0" applyNumberFormat="1" applyFont="1" applyFill="1" applyBorder="1"/>
    <xf numFmtId="165" fontId="52" fillId="3" borderId="50" xfId="0" applyNumberFormat="1" applyFont="1" applyFill="1" applyBorder="1"/>
    <xf numFmtId="164" fontId="52" fillId="3" borderId="0" xfId="2" applyNumberFormat="1" applyFont="1" applyFill="1" applyBorder="1"/>
    <xf numFmtId="164" fontId="52" fillId="3" borderId="28" xfId="2" applyNumberFormat="1" applyFont="1" applyFill="1" applyBorder="1"/>
    <xf numFmtId="165" fontId="4" fillId="3" borderId="35" xfId="0" applyNumberFormat="1" applyFont="1" applyFill="1" applyBorder="1"/>
    <xf numFmtId="165" fontId="4" fillId="3" borderId="64" xfId="0" applyNumberFormat="1" applyFont="1" applyFill="1" applyBorder="1"/>
    <xf numFmtId="165" fontId="4" fillId="11" borderId="35" xfId="0" applyNumberFormat="1" applyFont="1" applyFill="1" applyBorder="1"/>
    <xf numFmtId="167" fontId="4" fillId="11" borderId="35" xfId="0" applyNumberFormat="1" applyFont="1" applyFill="1" applyBorder="1"/>
    <xf numFmtId="167" fontId="4" fillId="11" borderId="64" xfId="0" applyNumberFormat="1" applyFont="1" applyFill="1" applyBorder="1"/>
    <xf numFmtId="0" fontId="54" fillId="11" borderId="0" xfId="0" applyFont="1" applyFill="1"/>
    <xf numFmtId="168" fontId="3" fillId="3" borderId="0" xfId="0" applyNumberFormat="1" applyFont="1" applyFill="1"/>
    <xf numFmtId="168" fontId="3" fillId="3" borderId="28" xfId="0" applyNumberFormat="1" applyFont="1" applyFill="1" applyBorder="1"/>
    <xf numFmtId="0" fontId="3" fillId="12" borderId="49" xfId="0" applyFont="1" applyFill="1" applyBorder="1"/>
    <xf numFmtId="167" fontId="4" fillId="12" borderId="36" xfId="1" applyNumberFormat="1" applyFont="1" applyFill="1" applyBorder="1"/>
    <xf numFmtId="167" fontId="4" fillId="12" borderId="50" xfId="1" applyNumberFormat="1" applyFont="1" applyFill="1" applyBorder="1"/>
    <xf numFmtId="0" fontId="3" fillId="12" borderId="18" xfId="0" applyFont="1" applyFill="1" applyBorder="1"/>
    <xf numFmtId="0" fontId="3" fillId="12" borderId="19" xfId="0" applyFont="1" applyFill="1" applyBorder="1"/>
    <xf numFmtId="167" fontId="53" fillId="12" borderId="19" xfId="0" applyNumberFormat="1" applyFont="1" applyFill="1" applyBorder="1"/>
    <xf numFmtId="167" fontId="53" fillId="12" borderId="20" xfId="0" applyNumberFormat="1" applyFont="1" applyFill="1" applyBorder="1"/>
    <xf numFmtId="0" fontId="3" fillId="12" borderId="52" xfId="0" applyFont="1" applyFill="1" applyBorder="1"/>
    <xf numFmtId="0" fontId="3" fillId="12" borderId="48" xfId="0" applyFont="1" applyFill="1" applyBorder="1"/>
    <xf numFmtId="0" fontId="3" fillId="2" borderId="63" xfId="0" applyFont="1" applyFill="1" applyBorder="1"/>
    <xf numFmtId="10" fontId="3" fillId="2" borderId="35" xfId="2" applyNumberFormat="1" applyFont="1" applyFill="1" applyBorder="1"/>
    <xf numFmtId="10" fontId="3" fillId="2" borderId="64" xfId="2" applyNumberFormat="1" applyFont="1" applyFill="1" applyBorder="1"/>
    <xf numFmtId="164" fontId="3" fillId="2" borderId="35" xfId="2" applyNumberFormat="1" applyFont="1" applyFill="1" applyBorder="1"/>
    <xf numFmtId="164" fontId="3" fillId="2" borderId="64" xfId="2" applyNumberFormat="1" applyFont="1" applyFill="1" applyBorder="1"/>
    <xf numFmtId="0" fontId="55" fillId="6" borderId="0" xfId="0" applyFont="1" applyFill="1"/>
    <xf numFmtId="0" fontId="56" fillId="6" borderId="0" xfId="0" applyFont="1" applyFill="1"/>
    <xf numFmtId="10" fontId="56" fillId="6" borderId="0" xfId="2" applyNumberFormat="1" applyFont="1" applyFill="1" applyBorder="1"/>
    <xf numFmtId="164" fontId="55" fillId="3" borderId="0" xfId="2" applyNumberFormat="1" applyFont="1" applyFill="1" applyBorder="1"/>
    <xf numFmtId="164" fontId="55" fillId="3" borderId="28" xfId="2" applyNumberFormat="1" applyFont="1" applyFill="1" applyBorder="1"/>
    <xf numFmtId="0" fontId="52" fillId="3" borderId="0" xfId="0" applyFont="1" applyFill="1"/>
    <xf numFmtId="167" fontId="4" fillId="12" borderId="19" xfId="0" applyNumberFormat="1" applyFont="1" applyFill="1" applyBorder="1"/>
    <xf numFmtId="167" fontId="4" fillId="12" borderId="20" xfId="0" applyNumberFormat="1" applyFont="1" applyFill="1" applyBorder="1"/>
    <xf numFmtId="167" fontId="52" fillId="3" borderId="99" xfId="0" applyNumberFormat="1" applyFont="1" applyFill="1" applyBorder="1"/>
    <xf numFmtId="0" fontId="3" fillId="6" borderId="98" xfId="0" applyFont="1" applyFill="1" applyBorder="1"/>
    <xf numFmtId="0" fontId="3" fillId="6" borderId="7" xfId="0" applyFont="1" applyFill="1" applyBorder="1"/>
    <xf numFmtId="0" fontId="3" fillId="6" borderId="8" xfId="0" applyFont="1" applyFill="1" applyBorder="1"/>
    <xf numFmtId="0" fontId="3" fillId="12" borderId="4" xfId="0" applyFont="1" applyFill="1" applyBorder="1"/>
    <xf numFmtId="0" fontId="3" fillId="12" borderId="5" xfId="0" applyFont="1" applyFill="1" applyBorder="1"/>
    <xf numFmtId="167" fontId="4" fillId="12" borderId="5" xfId="0" applyNumberFormat="1" applyFont="1" applyFill="1" applyBorder="1"/>
    <xf numFmtId="167" fontId="4" fillId="12" borderId="6" xfId="0" applyNumberFormat="1" applyFont="1" applyFill="1" applyBorder="1"/>
    <xf numFmtId="0" fontId="3" fillId="12" borderId="7" xfId="0" applyFont="1" applyFill="1" applyBorder="1"/>
    <xf numFmtId="0" fontId="3" fillId="12" borderId="8" xfId="0" applyFont="1" applyFill="1" applyBorder="1"/>
    <xf numFmtId="167" fontId="4" fillId="12" borderId="8" xfId="0" applyNumberFormat="1" applyFont="1" applyFill="1" applyBorder="1"/>
    <xf numFmtId="167" fontId="4" fillId="12" borderId="9" xfId="0" applyNumberFormat="1" applyFont="1" applyFill="1" applyBorder="1"/>
    <xf numFmtId="164" fontId="55" fillId="3" borderId="99" xfId="2" applyNumberFormat="1" applyFont="1" applyFill="1" applyBorder="1"/>
    <xf numFmtId="0" fontId="4" fillId="12" borderId="4" xfId="0" applyFont="1" applyFill="1" applyBorder="1"/>
    <xf numFmtId="0" fontId="51" fillId="12" borderId="5" xfId="0" applyFont="1" applyFill="1" applyBorder="1"/>
    <xf numFmtId="0" fontId="51" fillId="12" borderId="6" xfId="0" applyFont="1" applyFill="1" applyBorder="1"/>
    <xf numFmtId="0" fontId="4" fillId="12" borderId="7" xfId="0" applyFont="1" applyFill="1" applyBorder="1"/>
    <xf numFmtId="3" fontId="57" fillId="12" borderId="8" xfId="0" applyNumberFormat="1" applyFont="1" applyFill="1" applyBorder="1"/>
    <xf numFmtId="3" fontId="57" fillId="12" borderId="9" xfId="0" applyNumberFormat="1" applyFont="1" applyFill="1" applyBorder="1"/>
    <xf numFmtId="0" fontId="3" fillId="2" borderId="100" xfId="0" applyFont="1" applyFill="1" applyBorder="1"/>
    <xf numFmtId="0" fontId="3" fillId="2" borderId="101" xfId="0" applyFont="1" applyFill="1" applyBorder="1"/>
    <xf numFmtId="164" fontId="3" fillId="2" borderId="101" xfId="2" applyNumberFormat="1" applyFont="1" applyFill="1" applyBorder="1"/>
    <xf numFmtId="164" fontId="3" fillId="2" borderId="102" xfId="2" applyNumberFormat="1" applyFont="1" applyFill="1" applyBorder="1"/>
    <xf numFmtId="164" fontId="7" fillId="2" borderId="101" xfId="2" applyNumberFormat="1" applyFont="1" applyFill="1" applyBorder="1"/>
    <xf numFmtId="164" fontId="7" fillId="2" borderId="102" xfId="2" applyNumberFormat="1" applyFont="1" applyFill="1" applyBorder="1"/>
    <xf numFmtId="0" fontId="3" fillId="3" borderId="98" xfId="0" applyFont="1" applyFill="1" applyBorder="1"/>
    <xf numFmtId="165" fontId="25" fillId="12" borderId="8" xfId="0" applyNumberFormat="1" applyFont="1" applyFill="1" applyBorder="1"/>
    <xf numFmtId="165" fontId="25" fillId="12" borderId="9" xfId="0" applyNumberFormat="1" applyFont="1" applyFill="1" applyBorder="1"/>
    <xf numFmtId="167" fontId="7" fillId="12" borderId="5" xfId="0" applyNumberFormat="1" applyFont="1" applyFill="1" applyBorder="1"/>
    <xf numFmtId="167" fontId="7" fillId="12" borderId="6" xfId="0" applyNumberFormat="1" applyFont="1" applyFill="1" applyBorder="1"/>
    <xf numFmtId="0" fontId="3" fillId="6" borderId="99" xfId="0" applyFont="1" applyFill="1" applyBorder="1"/>
    <xf numFmtId="0" fontId="3" fillId="6" borderId="9" xfId="0" applyFont="1" applyFill="1" applyBorder="1"/>
    <xf numFmtId="0" fontId="54" fillId="3" borderId="0" xfId="0" applyFont="1" applyFill="1"/>
    <xf numFmtId="0" fontId="58" fillId="6" borderId="0" xfId="0" applyFont="1" applyFill="1"/>
    <xf numFmtId="10" fontId="3" fillId="2" borderId="101" xfId="2" applyNumberFormat="1" applyFont="1" applyFill="1" applyBorder="1"/>
    <xf numFmtId="4" fontId="59" fillId="3" borderId="0" xfId="0" applyNumberFormat="1" applyFont="1" applyFill="1"/>
    <xf numFmtId="0" fontId="59" fillId="0" borderId="0" xfId="0" applyFont="1"/>
    <xf numFmtId="167" fontId="60" fillId="12" borderId="5" xfId="0" applyNumberFormat="1" applyFont="1" applyFill="1" applyBorder="1"/>
    <xf numFmtId="167" fontId="60" fillId="12" borderId="6" xfId="0" applyNumberFormat="1" applyFont="1" applyFill="1" applyBorder="1"/>
    <xf numFmtId="167" fontId="60" fillId="12" borderId="8" xfId="0" applyNumberFormat="1" applyFont="1" applyFill="1" applyBorder="1"/>
    <xf numFmtId="167" fontId="60" fillId="12" borderId="9" xfId="0" applyNumberFormat="1" applyFont="1" applyFill="1" applyBorder="1"/>
    <xf numFmtId="165" fontId="3" fillId="12" borderId="5" xfId="0" applyNumberFormat="1" applyFont="1" applyFill="1" applyBorder="1"/>
    <xf numFmtId="167" fontId="3" fillId="6" borderId="0" xfId="0" applyNumberFormat="1" applyFont="1" applyFill="1"/>
    <xf numFmtId="167" fontId="3" fillId="6" borderId="99" xfId="0" applyNumberFormat="1" applyFont="1" applyFill="1" applyBorder="1"/>
    <xf numFmtId="167" fontId="3" fillId="12" borderId="8" xfId="0" applyNumberFormat="1" applyFont="1" applyFill="1" applyBorder="1"/>
    <xf numFmtId="167" fontId="25" fillId="3" borderId="99" xfId="0" applyNumberFormat="1" applyFont="1" applyFill="1" applyBorder="1"/>
    <xf numFmtId="167" fontId="3" fillId="12" borderId="9" xfId="0" applyNumberFormat="1" applyFont="1" applyFill="1" applyBorder="1"/>
    <xf numFmtId="0" fontId="3" fillId="2" borderId="102" xfId="0" applyFont="1" applyFill="1" applyBorder="1"/>
    <xf numFmtId="165" fontId="53" fillId="12" borderId="5" xfId="0" applyNumberFormat="1" applyFont="1" applyFill="1" applyBorder="1"/>
    <xf numFmtId="165" fontId="53" fillId="12" borderId="6" xfId="0" applyNumberFormat="1" applyFont="1" applyFill="1" applyBorder="1"/>
    <xf numFmtId="165" fontId="4" fillId="12" borderId="8" xfId="0" applyNumberFormat="1" applyFont="1" applyFill="1" applyBorder="1"/>
    <xf numFmtId="165" fontId="4" fillId="12" borderId="9" xfId="0" applyNumberFormat="1" applyFont="1" applyFill="1" applyBorder="1"/>
    <xf numFmtId="165" fontId="53" fillId="12" borderId="36" xfId="0" applyNumberFormat="1" applyFont="1" applyFill="1" applyBorder="1"/>
    <xf numFmtId="165" fontId="53" fillId="12" borderId="50" xfId="0" applyNumberFormat="1" applyFont="1" applyFill="1" applyBorder="1"/>
    <xf numFmtId="167" fontId="53" fillId="12" borderId="36" xfId="0" applyNumberFormat="1" applyFont="1" applyFill="1" applyBorder="1"/>
    <xf numFmtId="167" fontId="53" fillId="12" borderId="50" xfId="0" applyNumberFormat="1" applyFont="1" applyFill="1" applyBorder="1"/>
    <xf numFmtId="167" fontId="4" fillId="12" borderId="36" xfId="0" applyNumberFormat="1" applyFont="1" applyFill="1" applyBorder="1"/>
    <xf numFmtId="167" fontId="4" fillId="12" borderId="50" xfId="0" applyNumberFormat="1" applyFont="1" applyFill="1" applyBorder="1"/>
    <xf numFmtId="165" fontId="3" fillId="12" borderId="6" xfId="0" applyNumberFormat="1" applyFont="1" applyFill="1" applyBorder="1"/>
    <xf numFmtId="43" fontId="3" fillId="2" borderId="101" xfId="1" applyFont="1" applyFill="1" applyBorder="1"/>
    <xf numFmtId="43" fontId="3" fillId="2" borderId="102" xfId="1" applyFont="1" applyFill="1" applyBorder="1"/>
    <xf numFmtId="167" fontId="25" fillId="12" borderId="5" xfId="0" applyNumberFormat="1" applyFont="1" applyFill="1" applyBorder="1"/>
    <xf numFmtId="167" fontId="25" fillId="12" borderId="6" xfId="0" applyNumberFormat="1" applyFont="1" applyFill="1" applyBorder="1"/>
    <xf numFmtId="0" fontId="4" fillId="7" borderId="103" xfId="0" applyFont="1" applyFill="1" applyBorder="1"/>
    <xf numFmtId="0" fontId="3" fillId="7" borderId="104" xfId="0" applyFont="1" applyFill="1" applyBorder="1"/>
    <xf numFmtId="0" fontId="3" fillId="7" borderId="105" xfId="0" applyFont="1" applyFill="1" applyBorder="1"/>
    <xf numFmtId="0" fontId="4" fillId="6" borderId="106" xfId="0" applyFont="1" applyFill="1" applyBorder="1"/>
    <xf numFmtId="0" fontId="4" fillId="6" borderId="107" xfId="0" applyFont="1" applyFill="1" applyBorder="1"/>
    <xf numFmtId="168" fontId="52" fillId="3" borderId="0" xfId="0" applyNumberFormat="1" applyFont="1" applyFill="1"/>
    <xf numFmtId="168" fontId="52" fillId="3" borderId="99" xfId="0" applyNumberFormat="1" applyFont="1" applyFill="1" applyBorder="1"/>
    <xf numFmtId="0" fontId="4" fillId="11" borderId="108" xfId="0" applyFont="1" applyFill="1" applyBorder="1"/>
    <xf numFmtId="0" fontId="3" fillId="11" borderId="109" xfId="0" applyFont="1" applyFill="1" applyBorder="1"/>
    <xf numFmtId="167" fontId="4" fillId="11" borderId="109" xfId="0" applyNumberFormat="1" applyFont="1" applyFill="1" applyBorder="1"/>
    <xf numFmtId="167" fontId="4" fillId="11" borderId="110" xfId="0" applyNumberFormat="1" applyFont="1" applyFill="1" applyBorder="1"/>
    <xf numFmtId="0" fontId="61" fillId="3" borderId="0" xfId="0" applyFont="1" applyFill="1"/>
    <xf numFmtId="0" fontId="4" fillId="6" borderId="23" xfId="0" applyFont="1" applyFill="1" applyBorder="1"/>
    <xf numFmtId="43" fontId="3" fillId="6" borderId="60" xfId="1" applyFont="1" applyFill="1" applyBorder="1"/>
    <xf numFmtId="165" fontId="4" fillId="0" borderId="111" xfId="0" applyNumberFormat="1" applyFont="1" applyBorder="1" applyAlignment="1">
      <alignment horizontal="right"/>
    </xf>
    <xf numFmtId="9" fontId="4" fillId="6" borderId="112" xfId="0" applyNumberFormat="1" applyFont="1" applyFill="1" applyBorder="1" applyAlignment="1">
      <alignment horizontal="center"/>
    </xf>
    <xf numFmtId="10" fontId="4" fillId="6" borderId="112" xfId="0" applyNumberFormat="1" applyFont="1" applyFill="1" applyBorder="1" applyAlignment="1">
      <alignment horizontal="center"/>
    </xf>
    <xf numFmtId="9" fontId="4" fillId="6" borderId="113" xfId="0" applyNumberFormat="1" applyFont="1" applyFill="1" applyBorder="1" applyAlignment="1">
      <alignment horizontal="center"/>
    </xf>
    <xf numFmtId="9" fontId="4" fillId="6" borderId="114" xfId="0" applyNumberFormat="1" applyFont="1" applyFill="1" applyBorder="1" applyAlignment="1">
      <alignment horizontal="right"/>
    </xf>
    <xf numFmtId="43" fontId="3" fillId="6" borderId="115" xfId="1" applyFont="1" applyFill="1" applyBorder="1"/>
    <xf numFmtId="10" fontId="4" fillId="6" borderId="114" xfId="0" applyNumberFormat="1" applyFont="1" applyFill="1" applyBorder="1" applyAlignment="1">
      <alignment horizontal="right"/>
    </xf>
    <xf numFmtId="9" fontId="4" fillId="6" borderId="116" xfId="0" applyNumberFormat="1" applyFont="1" applyFill="1" applyBorder="1" applyAlignment="1">
      <alignment horizontal="right"/>
    </xf>
    <xf numFmtId="43" fontId="3" fillId="6" borderId="117" xfId="1" applyFont="1" applyFill="1" applyBorder="1"/>
    <xf numFmtId="9" fontId="4" fillId="6" borderId="118" xfId="0" applyNumberFormat="1" applyFont="1" applyFill="1" applyBorder="1" applyAlignment="1">
      <alignment horizontal="right"/>
    </xf>
    <xf numFmtId="0" fontId="3" fillId="11" borderId="83" xfId="0" applyFont="1" applyFill="1" applyBorder="1"/>
    <xf numFmtId="0" fontId="3" fillId="11" borderId="84" xfId="0" applyFont="1" applyFill="1" applyBorder="1"/>
    <xf numFmtId="165" fontId="3" fillId="11" borderId="85" xfId="0" applyNumberFormat="1" applyFont="1" applyFill="1" applyBorder="1"/>
    <xf numFmtId="2" fontId="4" fillId="11" borderId="64" xfId="2" applyNumberFormat="1" applyFont="1" applyFill="1" applyBorder="1"/>
    <xf numFmtId="0" fontId="8" fillId="3" borderId="0" xfId="0" applyFont="1" applyFill="1"/>
    <xf numFmtId="0" fontId="10" fillId="3" borderId="0" xfId="0" applyFont="1" applyFill="1"/>
    <xf numFmtId="0" fontId="30" fillId="3" borderId="65" xfId="0" applyFont="1" applyFill="1" applyBorder="1" applyAlignment="1">
      <alignment horizontal="center" vertical="center"/>
    </xf>
    <xf numFmtId="0" fontId="30" fillId="3" borderId="119" xfId="0" applyFont="1" applyFill="1" applyBorder="1" applyAlignment="1">
      <alignment horizontal="center" vertical="center"/>
    </xf>
    <xf numFmtId="0" fontId="30" fillId="3" borderId="66" xfId="0" applyFont="1" applyFill="1" applyBorder="1" applyAlignment="1">
      <alignment horizontal="center" vertical="center"/>
    </xf>
    <xf numFmtId="44" fontId="30" fillId="3" borderId="0" xfId="0" applyNumberFormat="1" applyFont="1" applyFill="1" applyAlignment="1">
      <alignment horizontal="center" vertical="center"/>
    </xf>
    <xf numFmtId="0" fontId="3" fillId="13" borderId="0" xfId="0" applyFont="1" applyFill="1"/>
    <xf numFmtId="0" fontId="12" fillId="3" borderId="0" xfId="0" applyFont="1" applyFill="1" applyAlignment="1">
      <alignment horizontal="left" vertical="top"/>
    </xf>
    <xf numFmtId="0" fontId="10" fillId="3" borderId="0" xfId="0" applyFont="1" applyFill="1" applyAlignment="1">
      <alignment horizontal="left" vertical="top"/>
    </xf>
    <xf numFmtId="0" fontId="62" fillId="8" borderId="0" xfId="0" applyFont="1" applyFill="1"/>
    <xf numFmtId="0" fontId="63" fillId="8" borderId="0" xfId="0" applyFont="1" applyFill="1"/>
    <xf numFmtId="0" fontId="64" fillId="8" borderId="0" xfId="0" applyFont="1" applyFill="1" applyAlignment="1">
      <alignment horizontal="left" vertical="top"/>
    </xf>
    <xf numFmtId="0" fontId="64" fillId="8" borderId="0" xfId="0" applyFont="1" applyFill="1"/>
    <xf numFmtId="0" fontId="40" fillId="8" borderId="0" xfId="0" applyFont="1" applyFill="1"/>
    <xf numFmtId="0" fontId="65" fillId="6" borderId="0" xfId="0" applyFont="1" applyFill="1"/>
    <xf numFmtId="165" fontId="24" fillId="6" borderId="13" xfId="0" applyNumberFormat="1" applyFont="1" applyFill="1" applyBorder="1"/>
    <xf numFmtId="0" fontId="3" fillId="3" borderId="0" xfId="0" applyFont="1" applyFill="1" applyAlignment="1">
      <alignment horizontal="center"/>
    </xf>
    <xf numFmtId="0" fontId="5" fillId="4" borderId="0" xfId="0" applyFont="1" applyFill="1"/>
    <xf numFmtId="165" fontId="7" fillId="3" borderId="0" xfId="0" applyNumberFormat="1" applyFont="1" applyFill="1"/>
    <xf numFmtId="165" fontId="4" fillId="3" borderId="0" xfId="0" applyNumberFormat="1" applyFont="1" applyFill="1"/>
    <xf numFmtId="0" fontId="5" fillId="3" borderId="0" xfId="0" applyFont="1" applyFill="1"/>
    <xf numFmtId="15" fontId="5" fillId="3" borderId="0" xfId="0" applyNumberFormat="1" applyFont="1" applyFill="1"/>
    <xf numFmtId="0" fontId="6" fillId="3" borderId="0" xfId="0" applyFont="1" applyFill="1"/>
    <xf numFmtId="165" fontId="3" fillId="3" borderId="0" xfId="0" applyNumberFormat="1" applyFont="1" applyFill="1"/>
    <xf numFmtId="0" fontId="67" fillId="3" borderId="0" xfId="0" applyFont="1" applyFill="1" applyAlignment="1">
      <alignment horizontal="center"/>
    </xf>
    <xf numFmtId="0" fontId="5" fillId="4" borderId="0" xfId="0" applyFont="1" applyFill="1" applyAlignment="1">
      <alignment horizontal="right"/>
    </xf>
    <xf numFmtId="0" fontId="70" fillId="0" borderId="0" xfId="0" applyFont="1"/>
    <xf numFmtId="0" fontId="71" fillId="3" borderId="0" xfId="0" applyFont="1" applyFill="1"/>
    <xf numFmtId="0" fontId="69" fillId="3" borderId="10" xfId="0" applyFont="1" applyFill="1" applyBorder="1"/>
    <xf numFmtId="0" fontId="68" fillId="3" borderId="0" xfId="0" applyFont="1" applyFill="1"/>
    <xf numFmtId="0" fontId="72" fillId="3" borderId="0" xfId="0" applyFont="1" applyFill="1"/>
    <xf numFmtId="0" fontId="11" fillId="3" borderId="0" xfId="0" applyFont="1" applyFill="1"/>
    <xf numFmtId="0" fontId="4" fillId="3" borderId="121" xfId="0" applyFont="1" applyFill="1" applyBorder="1"/>
    <xf numFmtId="0" fontId="3" fillId="3" borderId="121" xfId="0" applyFont="1" applyFill="1" applyBorder="1"/>
    <xf numFmtId="165" fontId="3" fillId="3" borderId="121" xfId="0" applyNumberFormat="1" applyFont="1" applyFill="1" applyBorder="1"/>
    <xf numFmtId="165" fontId="4" fillId="3" borderId="121" xfId="0" applyNumberFormat="1" applyFont="1" applyFill="1" applyBorder="1"/>
    <xf numFmtId="0" fontId="7" fillId="3" borderId="121" xfId="0" applyFont="1" applyFill="1" applyBorder="1"/>
    <xf numFmtId="165" fontId="7" fillId="3" borderId="121" xfId="0" applyNumberFormat="1" applyFont="1" applyFill="1" applyBorder="1"/>
    <xf numFmtId="0" fontId="4" fillId="3" borderId="122" xfId="0" applyFont="1" applyFill="1" applyBorder="1" applyAlignment="1">
      <alignment horizontal="center"/>
    </xf>
    <xf numFmtId="0" fontId="7" fillId="3" borderId="122" xfId="0" applyFont="1" applyFill="1" applyBorder="1" applyAlignment="1">
      <alignment horizontal="center"/>
    </xf>
    <xf numFmtId="0" fontId="7" fillId="3" borderId="122" xfId="0" applyFont="1" applyFill="1" applyBorder="1"/>
    <xf numFmtId="0" fontId="7" fillId="3" borderId="123" xfId="0" applyFont="1" applyFill="1" applyBorder="1"/>
    <xf numFmtId="167" fontId="52" fillId="3" borderId="0" xfId="1" applyNumberFormat="1" applyFont="1" applyFill="1" applyBorder="1"/>
    <xf numFmtId="0" fontId="73" fillId="3" borderId="120" xfId="0" applyFont="1" applyFill="1" applyBorder="1"/>
    <xf numFmtId="0" fontId="32" fillId="3" borderId="0" xfId="0" applyFont="1" applyFill="1"/>
    <xf numFmtId="164" fontId="32" fillId="3" borderId="0" xfId="2" applyNumberFormat="1" applyFont="1" applyFill="1" applyBorder="1"/>
    <xf numFmtId="0" fontId="76" fillId="3" borderId="0" xfId="0" applyFont="1" applyFill="1"/>
    <xf numFmtId="164" fontId="76" fillId="3" borderId="0" xfId="2" applyNumberFormat="1" applyFont="1" applyFill="1" applyBorder="1"/>
    <xf numFmtId="0" fontId="78" fillId="3" borderId="0" xfId="0" applyFont="1" applyFill="1"/>
    <xf numFmtId="0" fontId="78" fillId="3" borderId="0" xfId="0" applyFont="1" applyFill="1" applyAlignment="1">
      <alignment horizontal="center"/>
    </xf>
    <xf numFmtId="10" fontId="78" fillId="3" borderId="0" xfId="0" applyNumberFormat="1" applyFont="1" applyFill="1" applyAlignment="1">
      <alignment horizontal="center"/>
    </xf>
    <xf numFmtId="0" fontId="38" fillId="3" borderId="0" xfId="0" applyFont="1" applyFill="1" applyAlignment="1">
      <alignment horizontal="center"/>
    </xf>
    <xf numFmtId="164" fontId="78" fillId="3" borderId="0" xfId="0" applyNumberFormat="1" applyFont="1" applyFill="1" applyAlignment="1">
      <alignment horizontal="center"/>
    </xf>
    <xf numFmtId="164" fontId="38" fillId="3" borderId="0" xfId="0" applyNumberFormat="1" applyFont="1" applyFill="1" applyAlignment="1">
      <alignment horizontal="center"/>
    </xf>
    <xf numFmtId="164" fontId="77" fillId="3" borderId="0" xfId="2" applyNumberFormat="1" applyFont="1" applyFill="1" applyBorder="1"/>
    <xf numFmtId="10" fontId="38" fillId="3" borderId="0" xfId="0" applyNumberFormat="1" applyFont="1" applyFill="1" applyAlignment="1">
      <alignment horizontal="center"/>
    </xf>
    <xf numFmtId="165" fontId="32" fillId="3" borderId="0" xfId="0" applyNumberFormat="1" applyFont="1" applyFill="1"/>
    <xf numFmtId="9" fontId="78" fillId="3" borderId="0" xfId="0" applyNumberFormat="1" applyFont="1" applyFill="1" applyAlignment="1">
      <alignment horizontal="center"/>
    </xf>
    <xf numFmtId="165" fontId="4" fillId="3" borderId="121" xfId="2" applyNumberFormat="1" applyFont="1" applyFill="1" applyBorder="1"/>
    <xf numFmtId="0" fontId="38" fillId="3" borderId="121" xfId="0" applyFont="1" applyFill="1" applyBorder="1" applyAlignment="1">
      <alignment horizontal="center"/>
    </xf>
    <xf numFmtId="0" fontId="79" fillId="3" borderId="0" xfId="0" applyFont="1" applyFill="1"/>
    <xf numFmtId="169" fontId="76" fillId="3" borderId="0" xfId="2" applyNumberFormat="1" applyFont="1" applyFill="1" applyBorder="1"/>
    <xf numFmtId="10" fontId="0" fillId="0" borderId="0" xfId="0" applyNumberFormat="1"/>
    <xf numFmtId="0" fontId="66" fillId="0" borderId="0" xfId="0" applyFont="1"/>
    <xf numFmtId="0" fontId="80" fillId="3" borderId="0" xfId="0" applyFont="1" applyFill="1" applyAlignment="1">
      <alignment horizontal="center"/>
    </xf>
    <xf numFmtId="10" fontId="7" fillId="3" borderId="0" xfId="2" applyNumberFormat="1" applyFont="1" applyFill="1"/>
    <xf numFmtId="167" fontId="7" fillId="3" borderId="0" xfId="0" applyNumberFormat="1" applyFont="1" applyFill="1"/>
    <xf numFmtId="2" fontId="7" fillId="3" borderId="0" xfId="0" applyNumberFormat="1" applyFont="1" applyFill="1"/>
    <xf numFmtId="0" fontId="3" fillId="3" borderId="0" xfId="0" quotePrefix="1" applyFont="1" applyFill="1" applyAlignment="1">
      <alignment horizontal="center"/>
    </xf>
    <xf numFmtId="167" fontId="60" fillId="12" borderId="19" xfId="0" applyNumberFormat="1" applyFont="1" applyFill="1" applyBorder="1"/>
    <xf numFmtId="167" fontId="60" fillId="12" borderId="20" xfId="0" applyNumberFormat="1" applyFont="1" applyFill="1" applyBorder="1"/>
    <xf numFmtId="0" fontId="3" fillId="12" borderId="98" xfId="0" applyFont="1" applyFill="1" applyBorder="1"/>
    <xf numFmtId="0" fontId="3" fillId="12" borderId="0" xfId="0" applyFont="1" applyFill="1"/>
    <xf numFmtId="167" fontId="60" fillId="12" borderId="0" xfId="0" applyNumberFormat="1" applyFont="1" applyFill="1"/>
    <xf numFmtId="167" fontId="60" fillId="12" borderId="28" xfId="0" applyNumberFormat="1" applyFont="1" applyFill="1" applyBorder="1"/>
    <xf numFmtId="167" fontId="25" fillId="12" borderId="36" xfId="0" applyNumberFormat="1" applyFont="1" applyFill="1" applyBorder="1"/>
    <xf numFmtId="167" fontId="25" fillId="12" borderId="50" xfId="0" applyNumberFormat="1" applyFont="1" applyFill="1" applyBorder="1"/>
    <xf numFmtId="0" fontId="56" fillId="6" borderId="19" xfId="0" applyFont="1" applyFill="1" applyBorder="1"/>
    <xf numFmtId="10" fontId="56" fillId="6" borderId="19" xfId="2" applyNumberFormat="1" applyFont="1" applyFill="1" applyBorder="1"/>
    <xf numFmtId="0" fontId="7" fillId="12" borderId="18" xfId="0" applyFont="1" applyFill="1" applyBorder="1"/>
    <xf numFmtId="0" fontId="7" fillId="12" borderId="19" xfId="0" applyFont="1" applyFill="1" applyBorder="1"/>
    <xf numFmtId="10" fontId="7" fillId="12" borderId="19" xfId="2" applyNumberFormat="1" applyFont="1" applyFill="1" applyBorder="1"/>
    <xf numFmtId="165" fontId="7" fillId="12" borderId="19" xfId="2" applyNumberFormat="1" applyFont="1" applyFill="1" applyBorder="1"/>
    <xf numFmtId="165" fontId="7" fillId="12" borderId="20" xfId="2" applyNumberFormat="1" applyFont="1" applyFill="1" applyBorder="1"/>
    <xf numFmtId="0" fontId="4" fillId="12" borderId="98" xfId="0" applyFont="1" applyFill="1" applyBorder="1"/>
    <xf numFmtId="0" fontId="4" fillId="12" borderId="127" xfId="0" applyFont="1" applyFill="1" applyBorder="1"/>
    <xf numFmtId="168" fontId="3" fillId="12" borderId="0" xfId="0" applyNumberFormat="1" applyFont="1" applyFill="1"/>
    <xf numFmtId="168" fontId="3" fillId="12" borderId="99" xfId="0" applyNumberFormat="1" applyFont="1" applyFill="1" applyBorder="1"/>
    <xf numFmtId="167" fontId="25" fillId="12" borderId="0" xfId="0" applyNumberFormat="1" applyFont="1" applyFill="1"/>
    <xf numFmtId="167" fontId="25" fillId="12" borderId="99" xfId="0" applyNumberFormat="1" applyFont="1" applyFill="1" applyBorder="1"/>
    <xf numFmtId="0" fontId="55" fillId="6" borderId="19" xfId="0" applyFont="1" applyFill="1" applyBorder="1"/>
    <xf numFmtId="164" fontId="55" fillId="3" borderId="19" xfId="2" applyNumberFormat="1" applyFont="1" applyFill="1" applyBorder="1"/>
    <xf numFmtId="164" fontId="55" fillId="3" borderId="20" xfId="2" applyNumberFormat="1" applyFont="1" applyFill="1" applyBorder="1"/>
    <xf numFmtId="0" fontId="3" fillId="2" borderId="49" xfId="0" applyFont="1" applyFill="1" applyBorder="1"/>
    <xf numFmtId="0" fontId="3" fillId="2" borderId="36" xfId="0" applyFont="1" applyFill="1" applyBorder="1"/>
    <xf numFmtId="0" fontId="3" fillId="2" borderId="50" xfId="0" applyFont="1" applyFill="1" applyBorder="1"/>
    <xf numFmtId="43" fontId="3" fillId="2" borderId="36" xfId="1" applyFont="1" applyFill="1" applyBorder="1"/>
    <xf numFmtId="43" fontId="3" fillId="2" borderId="50" xfId="1" applyFont="1" applyFill="1" applyBorder="1"/>
    <xf numFmtId="43" fontId="3" fillId="2" borderId="35" xfId="1" applyFont="1" applyFill="1" applyBorder="1"/>
    <xf numFmtId="43" fontId="3" fillId="2" borderId="64" xfId="1" applyFont="1" applyFill="1" applyBorder="1"/>
    <xf numFmtId="0" fontId="3" fillId="12" borderId="25" xfId="0" applyFont="1" applyFill="1" applyBorder="1"/>
    <xf numFmtId="0" fontId="3" fillId="12" borderId="28" xfId="0" applyFont="1" applyFill="1" applyBorder="1"/>
    <xf numFmtId="0" fontId="3" fillId="12" borderId="20" xfId="0" applyFont="1" applyFill="1" applyBorder="1"/>
    <xf numFmtId="165" fontId="3" fillId="3" borderId="0" xfId="1" applyNumberFormat="1" applyFont="1" applyFill="1" applyBorder="1"/>
    <xf numFmtId="167" fontId="3" fillId="3" borderId="0" xfId="0" applyNumberFormat="1" applyFont="1" applyFill="1"/>
    <xf numFmtId="0" fontId="4" fillId="3" borderId="84" xfId="0" applyFont="1" applyFill="1" applyBorder="1"/>
    <xf numFmtId="0" fontId="3" fillId="3" borderId="84" xfId="0" applyFont="1" applyFill="1" applyBorder="1"/>
    <xf numFmtId="165" fontId="4" fillId="3" borderId="84" xfId="0" applyNumberFormat="1" applyFont="1" applyFill="1" applyBorder="1"/>
    <xf numFmtId="0" fontId="78" fillId="3" borderId="84" xfId="0" applyFont="1" applyFill="1" applyBorder="1" applyAlignment="1">
      <alignment horizontal="center"/>
    </xf>
    <xf numFmtId="0" fontId="81" fillId="6" borderId="0" xfId="0" applyFont="1" applyFill="1"/>
    <xf numFmtId="43" fontId="3" fillId="6" borderId="0" xfId="1" applyFont="1" applyFill="1"/>
    <xf numFmtId="43" fontId="3" fillId="3" borderId="0" xfId="1" applyFont="1" applyFill="1"/>
    <xf numFmtId="43" fontId="16" fillId="3" borderId="0" xfId="1" applyFont="1" applyFill="1"/>
    <xf numFmtId="43" fontId="82" fillId="11" borderId="0" xfId="1" applyFont="1" applyFill="1" applyAlignment="1">
      <alignment horizontal="right"/>
    </xf>
    <xf numFmtId="0" fontId="82" fillId="11" borderId="0" xfId="0" applyFont="1" applyFill="1" applyAlignment="1">
      <alignment horizontal="right"/>
    </xf>
    <xf numFmtId="43" fontId="3" fillId="2" borderId="84" xfId="1" applyFont="1" applyFill="1" applyBorder="1"/>
    <xf numFmtId="0" fontId="83" fillId="3" borderId="0" xfId="0" applyFont="1" applyFill="1"/>
    <xf numFmtId="0" fontId="83" fillId="3" borderId="128" xfId="0" applyFont="1" applyFill="1" applyBorder="1"/>
    <xf numFmtId="0" fontId="85" fillId="3" borderId="0" xfId="0" applyFont="1" applyFill="1"/>
    <xf numFmtId="168" fontId="88" fillId="3" borderId="129" xfId="1" applyNumberFormat="1" applyFont="1" applyFill="1" applyBorder="1" applyAlignment="1">
      <alignment vertical="center"/>
    </xf>
    <xf numFmtId="168" fontId="89" fillId="3" borderId="129" xfId="1" applyNumberFormat="1" applyFont="1" applyFill="1" applyBorder="1" applyAlignment="1">
      <alignment vertical="center"/>
    </xf>
    <xf numFmtId="0" fontId="89" fillId="3" borderId="129" xfId="0" applyFont="1" applyFill="1" applyBorder="1" applyAlignment="1">
      <alignment vertical="center"/>
    </xf>
    <xf numFmtId="168" fontId="89" fillId="3" borderId="130" xfId="1" applyNumberFormat="1" applyFont="1" applyFill="1" applyBorder="1" applyAlignment="1">
      <alignment vertical="center"/>
    </xf>
    <xf numFmtId="0" fontId="83" fillId="3" borderId="129" xfId="0" applyFont="1" applyFill="1" applyBorder="1"/>
    <xf numFmtId="0" fontId="9" fillId="3" borderId="131" xfId="0" applyFont="1" applyFill="1" applyBorder="1"/>
    <xf numFmtId="0" fontId="90" fillId="3" borderId="131" xfId="0" applyFont="1" applyFill="1" applyBorder="1"/>
    <xf numFmtId="0" fontId="91" fillId="3" borderId="131" xfId="0" applyFont="1" applyFill="1" applyBorder="1"/>
    <xf numFmtId="164" fontId="90" fillId="3" borderId="131" xfId="2" applyNumberFormat="1" applyFont="1" applyFill="1" applyBorder="1" applyAlignment="1">
      <alignment horizontal="right" vertical="center"/>
    </xf>
    <xf numFmtId="0" fontId="85" fillId="3" borderId="131" xfId="0" applyFont="1" applyFill="1" applyBorder="1"/>
    <xf numFmtId="164" fontId="85" fillId="3" borderId="131" xfId="1" applyNumberFormat="1" applyFont="1" applyFill="1" applyBorder="1" applyAlignment="1">
      <alignment horizontal="right" vertical="center"/>
    </xf>
    <xf numFmtId="0" fontId="85" fillId="3" borderId="131" xfId="0" applyFont="1" applyFill="1" applyBorder="1" applyAlignment="1">
      <alignment horizontal="right" vertical="center"/>
    </xf>
    <xf numFmtId="0" fontId="9" fillId="3" borderId="0" xfId="0" applyFont="1" applyFill="1"/>
    <xf numFmtId="0" fontId="9" fillId="3" borderId="132" xfId="0" applyFont="1" applyFill="1" applyBorder="1"/>
    <xf numFmtId="0" fontId="83" fillId="3" borderId="132" xfId="0" applyFont="1" applyFill="1" applyBorder="1"/>
    <xf numFmtId="0" fontId="83" fillId="3" borderId="0" xfId="0" applyFont="1" applyFill="1" applyAlignment="1">
      <alignment vertical="center"/>
    </xf>
    <xf numFmtId="0" fontId="9" fillId="3" borderId="128" xfId="0" applyFont="1" applyFill="1" applyBorder="1"/>
    <xf numFmtId="0" fontId="9" fillId="3" borderId="133" xfId="0" applyFont="1" applyFill="1" applyBorder="1"/>
    <xf numFmtId="0" fontId="83" fillId="3" borderId="133" xfId="0" applyFont="1" applyFill="1" applyBorder="1"/>
    <xf numFmtId="0" fontId="9" fillId="3" borderId="134" xfId="0" applyFont="1" applyFill="1" applyBorder="1"/>
    <xf numFmtId="0" fontId="9" fillId="3" borderId="134" xfId="0" applyFont="1" applyFill="1" applyBorder="1" applyAlignment="1">
      <alignment horizontal="right"/>
    </xf>
    <xf numFmtId="43" fontId="9" fillId="3" borderId="133" xfId="1" applyFont="1" applyFill="1" applyBorder="1"/>
    <xf numFmtId="10" fontId="9" fillId="3" borderId="133" xfId="0" applyNumberFormat="1" applyFont="1" applyFill="1" applyBorder="1"/>
    <xf numFmtId="43" fontId="9" fillId="3" borderId="133" xfId="0" applyNumberFormat="1" applyFont="1" applyFill="1" applyBorder="1"/>
    <xf numFmtId="0" fontId="83" fillId="3" borderId="134" xfId="0" applyFont="1" applyFill="1" applyBorder="1"/>
    <xf numFmtId="165" fontId="9" fillId="3" borderId="0" xfId="4" applyNumberFormat="1" applyFont="1" applyFill="1"/>
    <xf numFmtId="2" fontId="9" fillId="3" borderId="0" xfId="0" applyNumberFormat="1" applyFont="1" applyFill="1"/>
    <xf numFmtId="0" fontId="9" fillId="3" borderId="84" xfId="0" applyFont="1" applyFill="1" applyBorder="1"/>
    <xf numFmtId="0" fontId="92" fillId="3" borderId="84" xfId="0" applyFont="1" applyFill="1" applyBorder="1"/>
    <xf numFmtId="0" fontId="93" fillId="3" borderId="0" xfId="0" applyFont="1" applyFill="1"/>
    <xf numFmtId="0" fontId="94" fillId="3" borderId="0" xfId="0" applyFont="1" applyFill="1"/>
    <xf numFmtId="0" fontId="83" fillId="3" borderId="0" xfId="0" quotePrefix="1" applyFont="1" applyFill="1" applyAlignment="1">
      <alignment horizontal="center"/>
    </xf>
    <xf numFmtId="0" fontId="86" fillId="4" borderId="0" xfId="0" applyFont="1" applyFill="1" applyAlignment="1">
      <alignment horizontal="left" vertical="center"/>
    </xf>
    <xf numFmtId="0" fontId="87" fillId="4" borderId="0" xfId="0" applyFont="1" applyFill="1" applyAlignment="1">
      <alignment horizontal="center" vertical="center"/>
    </xf>
    <xf numFmtId="0" fontId="87" fillId="4" borderId="0" xfId="0" applyFont="1" applyFill="1" applyAlignment="1">
      <alignment horizontal="center"/>
    </xf>
    <xf numFmtId="0" fontId="86" fillId="4" borderId="0" xfId="0" applyFont="1" applyFill="1" applyAlignment="1">
      <alignment horizontal="right" vertical="center"/>
    </xf>
    <xf numFmtId="0" fontId="87" fillId="4" borderId="0" xfId="0" applyFont="1" applyFill="1" applyAlignment="1">
      <alignment horizontal="left" vertical="center"/>
    </xf>
    <xf numFmtId="0" fontId="87" fillId="4" borderId="0" xfId="0" applyFont="1" applyFill="1" applyAlignment="1">
      <alignment horizontal="left"/>
    </xf>
    <xf numFmtId="0" fontId="83" fillId="3" borderId="0" xfId="0" quotePrefix="1" applyFont="1" applyFill="1"/>
    <xf numFmtId="170" fontId="9" fillId="3" borderId="131" xfId="5">
      <alignment horizontal="center" vertical="center"/>
    </xf>
    <xf numFmtId="0" fontId="86" fillId="4" borderId="0" xfId="0" applyFont="1" applyFill="1" applyAlignment="1">
      <alignment horizontal="center" vertical="center"/>
    </xf>
    <xf numFmtId="164" fontId="9" fillId="3" borderId="131" xfId="0" applyNumberFormat="1" applyFont="1" applyFill="1" applyBorder="1" applyAlignment="1">
      <alignment horizontal="center" vertical="center"/>
    </xf>
    <xf numFmtId="2" fontId="9" fillId="3" borderId="131" xfId="2" applyNumberFormat="1" applyFont="1" applyFill="1" applyBorder="1" applyAlignment="1">
      <alignment horizontal="center" vertical="center"/>
    </xf>
    <xf numFmtId="164" fontId="85" fillId="3" borderId="131" xfId="2" applyNumberFormat="1" applyFont="1" applyFill="1" applyBorder="1" applyAlignment="1">
      <alignment horizontal="center" vertical="center"/>
    </xf>
    <xf numFmtId="164" fontId="90" fillId="3" borderId="131" xfId="2" applyNumberFormat="1" applyFont="1" applyFill="1" applyBorder="1" applyAlignment="1">
      <alignment horizontal="center" vertical="center"/>
    </xf>
    <xf numFmtId="164" fontId="52" fillId="3" borderId="0" xfId="0" applyNumberFormat="1" applyFont="1" applyFill="1"/>
    <xf numFmtId="2" fontId="9" fillId="3" borderId="131" xfId="1" applyNumberFormat="1" applyFont="1" applyFill="1" applyBorder="1" applyAlignment="1">
      <alignment horizontal="center" vertical="center"/>
    </xf>
    <xf numFmtId="166" fontId="0" fillId="0" borderId="0" xfId="0" applyNumberFormat="1"/>
    <xf numFmtId="0" fontId="0" fillId="0" borderId="0" xfId="0" applyAlignment="1">
      <alignment horizontal="right"/>
    </xf>
    <xf numFmtId="0" fontId="66" fillId="0" borderId="0" xfId="0" applyFont="1" applyAlignment="1">
      <alignment horizontal="right"/>
    </xf>
    <xf numFmtId="43" fontId="0" fillId="0" borderId="0" xfId="1" applyFont="1"/>
    <xf numFmtId="0" fontId="9" fillId="3" borderId="129" xfId="0" applyFont="1" applyFill="1" applyBorder="1"/>
    <xf numFmtId="0" fontId="0" fillId="3" borderId="131" xfId="0" applyFill="1" applyBorder="1"/>
    <xf numFmtId="0" fontId="9" fillId="3" borderId="131" xfId="0" applyFont="1" applyFill="1" applyBorder="1" applyAlignment="1">
      <alignment horizontal="right"/>
    </xf>
    <xf numFmtId="17" fontId="97" fillId="0" borderId="0" xfId="0" applyNumberFormat="1" applyFont="1"/>
    <xf numFmtId="0" fontId="98" fillId="0" borderId="0" xfId="0" applyFont="1"/>
    <xf numFmtId="0" fontId="100" fillId="0" borderId="0" xfId="0" applyFont="1"/>
    <xf numFmtId="17" fontId="99" fillId="0" borderId="0" xfId="0" applyNumberFormat="1" applyFont="1"/>
    <xf numFmtId="0" fontId="99" fillId="0" borderId="0" xfId="0" applyFont="1"/>
    <xf numFmtId="43" fontId="0" fillId="0" borderId="0" xfId="0" applyNumberFormat="1"/>
    <xf numFmtId="171" fontId="9" fillId="3" borderId="133" xfId="0" applyNumberFormat="1" applyFont="1" applyFill="1" applyBorder="1" applyAlignment="1">
      <alignment horizontal="center"/>
    </xf>
    <xf numFmtId="10" fontId="9" fillId="3" borderId="133" xfId="2" applyNumberFormat="1" applyFont="1" applyFill="1" applyBorder="1" applyAlignment="1">
      <alignment horizontal="center"/>
    </xf>
    <xf numFmtId="0" fontId="101" fillId="0" borderId="0" xfId="0" applyFont="1"/>
    <xf numFmtId="0" fontId="102" fillId="3" borderId="0" xfId="0" applyFont="1" applyFill="1"/>
    <xf numFmtId="0" fontId="103" fillId="3" borderId="0" xfId="0" applyFont="1" applyFill="1"/>
    <xf numFmtId="165" fontId="7" fillId="3" borderId="0" xfId="1" applyNumberFormat="1" applyFont="1" applyFill="1"/>
    <xf numFmtId="0" fontId="86" fillId="4" borderId="0" xfId="0" applyFont="1" applyFill="1" applyAlignment="1">
      <alignment horizontal="left" vertical="center"/>
    </xf>
    <xf numFmtId="0" fontId="88" fillId="4" borderId="0" xfId="0" applyFont="1" applyFill="1" applyAlignment="1">
      <alignment horizontal="center" vertical="center"/>
    </xf>
    <xf numFmtId="0" fontId="95" fillId="3" borderId="36" xfId="0" applyFont="1" applyFill="1" applyBorder="1" applyAlignment="1">
      <alignment horizontal="left" vertical="center" wrapText="1"/>
    </xf>
    <xf numFmtId="0" fontId="95" fillId="3" borderId="0" xfId="0" applyFont="1" applyFill="1" applyAlignment="1">
      <alignment horizontal="left" vertical="center" wrapText="1"/>
    </xf>
    <xf numFmtId="0" fontId="87" fillId="4" borderId="0" xfId="0" applyFont="1" applyFill="1" applyAlignment="1">
      <alignment horizontal="center" vertical="center"/>
    </xf>
    <xf numFmtId="0" fontId="84" fillId="4" borderId="63" xfId="0" applyFont="1" applyFill="1" applyBorder="1" applyAlignment="1">
      <alignment horizontal="center" vertical="center"/>
    </xf>
    <xf numFmtId="0" fontId="84" fillId="4" borderId="35" xfId="0" applyFont="1" applyFill="1" applyBorder="1" applyAlignment="1">
      <alignment horizontal="center" vertical="center"/>
    </xf>
    <xf numFmtId="0" fontId="84" fillId="4" borderId="64" xfId="0" applyFont="1" applyFill="1" applyBorder="1" applyAlignment="1">
      <alignment horizontal="center" vertical="center"/>
    </xf>
    <xf numFmtId="0" fontId="69" fillId="4" borderId="10" xfId="0" applyFont="1" applyFill="1" applyBorder="1" applyAlignment="1">
      <alignment horizontal="center"/>
    </xf>
    <xf numFmtId="0" fontId="68" fillId="4" borderId="120" xfId="0" applyFont="1" applyFill="1" applyBorder="1" applyAlignment="1">
      <alignment horizontal="center"/>
    </xf>
    <xf numFmtId="0" fontId="73" fillId="4" borderId="120" xfId="0" applyFont="1" applyFill="1" applyBorder="1" applyAlignment="1">
      <alignment horizontal="center"/>
    </xf>
    <xf numFmtId="0" fontId="74" fillId="14" borderId="124" xfId="0" applyFont="1" applyFill="1" applyBorder="1" applyAlignment="1">
      <alignment horizontal="center" vertical="center" wrapText="1"/>
    </xf>
    <xf numFmtId="0" fontId="74" fillId="14" borderId="125" xfId="0" applyFont="1" applyFill="1" applyBorder="1" applyAlignment="1">
      <alignment horizontal="center" vertical="center" wrapText="1"/>
    </xf>
    <xf numFmtId="0" fontId="74" fillId="14" borderId="126" xfId="0" applyFont="1" applyFill="1" applyBorder="1" applyAlignment="1">
      <alignment horizontal="center" vertical="center" wrapText="1"/>
    </xf>
    <xf numFmtId="0" fontId="75" fillId="4" borderId="120" xfId="0" applyFont="1" applyFill="1" applyBorder="1" applyAlignment="1">
      <alignment horizontal="center"/>
    </xf>
    <xf numFmtId="0" fontId="0" fillId="0" borderId="0" xfId="0"/>
    <xf numFmtId="0" fontId="96" fillId="0" borderId="0" xfId="0" applyFont="1"/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30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10" fontId="28" fillId="12" borderId="25" xfId="0" applyNumberFormat="1" applyFont="1" applyFill="1" applyBorder="1" applyAlignment="1">
      <alignment horizontal="center"/>
    </xf>
    <xf numFmtId="10" fontId="28" fillId="12" borderId="0" xfId="0" applyNumberFormat="1" applyFont="1" applyFill="1" applyAlignment="1">
      <alignment horizontal="center"/>
    </xf>
    <xf numFmtId="9" fontId="28" fillId="12" borderId="25" xfId="0" applyNumberFormat="1" applyFont="1" applyFill="1" applyBorder="1" applyAlignment="1">
      <alignment horizontal="center"/>
    </xf>
    <xf numFmtId="9" fontId="28" fillId="12" borderId="0" xfId="0" applyNumberFormat="1" applyFont="1" applyFill="1" applyAlignment="1">
      <alignment horizontal="center"/>
    </xf>
    <xf numFmtId="0" fontId="15" fillId="4" borderId="0" xfId="0" applyFont="1" applyFill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10" fontId="28" fillId="12" borderId="25" xfId="2" applyNumberFormat="1" applyFont="1" applyFill="1" applyBorder="1" applyAlignment="1">
      <alignment horizontal="center"/>
    </xf>
    <xf numFmtId="10" fontId="28" fillId="12" borderId="0" xfId="2" applyNumberFormat="1" applyFont="1" applyFill="1" applyAlignment="1">
      <alignment horizontal="center"/>
    </xf>
    <xf numFmtId="0" fontId="15" fillId="10" borderId="0" xfId="0" applyFont="1" applyFill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165" fontId="3" fillId="6" borderId="35" xfId="0" applyNumberFormat="1" applyFont="1" applyFill="1" applyBorder="1" applyAlignment="1">
      <alignment horizontal="center"/>
    </xf>
    <xf numFmtId="165" fontId="3" fillId="6" borderId="64" xfId="0" applyNumberFormat="1" applyFont="1" applyFill="1" applyBorder="1" applyAlignment="1">
      <alignment horizontal="center"/>
    </xf>
    <xf numFmtId="165" fontId="3" fillId="11" borderId="13" xfId="0" applyNumberFormat="1" applyFont="1" applyFill="1" applyBorder="1" applyAlignment="1">
      <alignment horizontal="center"/>
    </xf>
    <xf numFmtId="165" fontId="3" fillId="11" borderId="82" xfId="0" applyNumberFormat="1" applyFont="1" applyFill="1" applyBorder="1" applyAlignment="1">
      <alignment horizontal="center"/>
    </xf>
    <xf numFmtId="0" fontId="4" fillId="6" borderId="49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0" fontId="37" fillId="11" borderId="49" xfId="0" applyFont="1" applyFill="1" applyBorder="1" applyAlignment="1">
      <alignment horizontal="center" vertical="center"/>
    </xf>
    <xf numFmtId="0" fontId="37" fillId="11" borderId="18" xfId="0" applyFont="1" applyFill="1" applyBorder="1" applyAlignment="1">
      <alignment horizontal="center" vertical="center"/>
    </xf>
    <xf numFmtId="0" fontId="3" fillId="11" borderId="36" xfId="0" applyFont="1" applyFill="1" applyBorder="1" applyAlignment="1">
      <alignment horizontal="center" vertical="center"/>
    </xf>
    <xf numFmtId="0" fontId="3" fillId="11" borderId="19" xfId="0" applyFont="1" applyFill="1" applyBorder="1" applyAlignment="1">
      <alignment horizontal="center" vertical="center"/>
    </xf>
    <xf numFmtId="10" fontId="4" fillId="11" borderId="50" xfId="2" applyNumberFormat="1" applyFont="1" applyFill="1" applyBorder="1" applyAlignment="1">
      <alignment horizontal="center" vertical="center"/>
    </xf>
    <xf numFmtId="10" fontId="4" fillId="11" borderId="20" xfId="2" applyNumberFormat="1" applyFont="1" applyFill="1" applyBorder="1" applyAlignment="1">
      <alignment horizontal="center" vertical="center"/>
    </xf>
    <xf numFmtId="0" fontId="43" fillId="6" borderId="0" xfId="0" applyFont="1" applyFill="1" applyAlignment="1">
      <alignment horizontal="left" vertical="center"/>
    </xf>
    <xf numFmtId="0" fontId="18" fillId="0" borderId="0" xfId="0" applyFont="1"/>
    <xf numFmtId="43" fontId="9" fillId="3" borderId="84" xfId="1" applyFont="1" applyFill="1" applyBorder="1"/>
  </cellXfs>
  <cellStyles count="6">
    <cellStyle name="Comma" xfId="1" builtinId="3"/>
    <cellStyle name="Currency" xfId="4" builtinId="4"/>
    <cellStyle name="Dev Style" xfId="5" xr:uid="{84DA7BC3-1E3A-A14A-BFD4-A6E3D2CEC004}"/>
    <cellStyle name="Hyperlink" xfId="3" builtinId="8"/>
    <cellStyle name="Normal" xfId="0" builtinId="0"/>
    <cellStyle name="Per cent" xfId="2" builtinId="5"/>
  </cellStyles>
  <dxfs count="12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theme="8" tint="0.39994506668294322"/>
      </font>
    </dxf>
    <dxf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eetMetadata" Target="metadata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28" Type="http://schemas.microsoft.com/office/2017/06/relationships/rdRichValue" Target="richData/rdrichvalue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microsoft.com/office/2022/10/relationships/richValueRel" Target="richData/richValueRel.xml"/><Relationship Id="rId30" Type="http://schemas.microsoft.com/office/2017/06/relationships/rdRichValueTypes" Target="richData/rdRichValueTyp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13932633420822"/>
          <c:y val="0.12539370078740159"/>
          <c:w val="0.74899256342957132"/>
          <c:h val="0.72094889180519106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[1]Sheet9!$B$89:$B$93</c:f>
              <c:strCache>
                <c:ptCount val="5"/>
                <c:pt idx="0">
                  <c:v>Promoters </c:v>
                </c:pt>
                <c:pt idx="1">
                  <c:v>FIIs </c:v>
                </c:pt>
                <c:pt idx="2">
                  <c:v>DIIs </c:v>
                </c:pt>
                <c:pt idx="3">
                  <c:v>Government </c:v>
                </c:pt>
                <c:pt idx="4">
                  <c:v>Public </c:v>
                </c:pt>
              </c:strCache>
            </c:strRef>
          </c:cat>
          <c:val>
            <c:numRef>
              <c:f>[1]Sheet9!$C$89:$C$93</c:f>
              <c:numCache>
                <c:formatCode>General</c:formatCode>
                <c:ptCount val="5"/>
                <c:pt idx="0">
                  <c:v>0.54479999999999995</c:v>
                </c:pt>
                <c:pt idx="1">
                  <c:v>0.1726</c:v>
                </c:pt>
                <c:pt idx="2">
                  <c:v>0.1938</c:v>
                </c:pt>
                <c:pt idx="3">
                  <c:v>1.1000000000000001E-3</c:v>
                </c:pt>
                <c:pt idx="4">
                  <c:v>8.7599999999999997E-2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8B-974F-9D41-B92020BAC3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528217952"/>
        <c:axId val="373163200"/>
      </c:barChart>
      <c:catAx>
        <c:axId val="15282179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3163200"/>
        <c:crosses val="autoZero"/>
        <c:auto val="1"/>
        <c:lblAlgn val="ctr"/>
        <c:lblOffset val="100"/>
        <c:noMultiLvlLbl val="0"/>
      </c:catAx>
      <c:valAx>
        <c:axId val="373163200"/>
        <c:scaling>
          <c:orientation val="minMax"/>
        </c:scaling>
        <c:delete val="1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5282179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'Beta Calculation'!$B$4:$B$254</c:f>
              <c:numCache>
                <c:formatCode>d\-mmm\-yy</c:formatCode>
                <c:ptCount val="251"/>
                <c:pt idx="0">
                  <c:v>45505</c:v>
                </c:pt>
                <c:pt idx="1">
                  <c:v>45506</c:v>
                </c:pt>
                <c:pt idx="2">
                  <c:v>45509</c:v>
                </c:pt>
                <c:pt idx="3">
                  <c:v>45510</c:v>
                </c:pt>
                <c:pt idx="4">
                  <c:v>45511</c:v>
                </c:pt>
                <c:pt idx="5">
                  <c:v>45512</c:v>
                </c:pt>
                <c:pt idx="6">
                  <c:v>45513</c:v>
                </c:pt>
                <c:pt idx="7">
                  <c:v>45516</c:v>
                </c:pt>
                <c:pt idx="8">
                  <c:v>45517</c:v>
                </c:pt>
                <c:pt idx="9">
                  <c:v>45518</c:v>
                </c:pt>
                <c:pt idx="10">
                  <c:v>45520</c:v>
                </c:pt>
                <c:pt idx="11">
                  <c:v>45523</c:v>
                </c:pt>
                <c:pt idx="12">
                  <c:v>45524</c:v>
                </c:pt>
                <c:pt idx="13">
                  <c:v>45525</c:v>
                </c:pt>
                <c:pt idx="14">
                  <c:v>45526</c:v>
                </c:pt>
                <c:pt idx="15">
                  <c:v>45527</c:v>
                </c:pt>
                <c:pt idx="16">
                  <c:v>45530</c:v>
                </c:pt>
                <c:pt idx="17">
                  <c:v>45531</c:v>
                </c:pt>
                <c:pt idx="18">
                  <c:v>45532</c:v>
                </c:pt>
                <c:pt idx="19">
                  <c:v>45533</c:v>
                </c:pt>
                <c:pt idx="20">
                  <c:v>45534</c:v>
                </c:pt>
                <c:pt idx="21">
                  <c:v>45537</c:v>
                </c:pt>
                <c:pt idx="22">
                  <c:v>45538</c:v>
                </c:pt>
                <c:pt idx="23">
                  <c:v>45539</c:v>
                </c:pt>
                <c:pt idx="24">
                  <c:v>45540</c:v>
                </c:pt>
                <c:pt idx="25">
                  <c:v>45541</c:v>
                </c:pt>
                <c:pt idx="26">
                  <c:v>45544</c:v>
                </c:pt>
                <c:pt idx="27">
                  <c:v>45545</c:v>
                </c:pt>
                <c:pt idx="28">
                  <c:v>45546</c:v>
                </c:pt>
                <c:pt idx="29">
                  <c:v>45547</c:v>
                </c:pt>
                <c:pt idx="30">
                  <c:v>45548</c:v>
                </c:pt>
                <c:pt idx="31">
                  <c:v>45551</c:v>
                </c:pt>
                <c:pt idx="32">
                  <c:v>45552</c:v>
                </c:pt>
                <c:pt idx="33">
                  <c:v>45553</c:v>
                </c:pt>
                <c:pt idx="34">
                  <c:v>45554</c:v>
                </c:pt>
                <c:pt idx="35">
                  <c:v>45555</c:v>
                </c:pt>
                <c:pt idx="36">
                  <c:v>45558</c:v>
                </c:pt>
                <c:pt idx="37">
                  <c:v>45559</c:v>
                </c:pt>
                <c:pt idx="38">
                  <c:v>45560</c:v>
                </c:pt>
                <c:pt idx="39">
                  <c:v>45561</c:v>
                </c:pt>
                <c:pt idx="40">
                  <c:v>45562</c:v>
                </c:pt>
                <c:pt idx="41">
                  <c:v>45565</c:v>
                </c:pt>
                <c:pt idx="42">
                  <c:v>45566</c:v>
                </c:pt>
                <c:pt idx="43">
                  <c:v>45568</c:v>
                </c:pt>
                <c:pt idx="44">
                  <c:v>45569</c:v>
                </c:pt>
                <c:pt idx="45">
                  <c:v>45572</c:v>
                </c:pt>
                <c:pt idx="46">
                  <c:v>45573</c:v>
                </c:pt>
                <c:pt idx="47">
                  <c:v>45574</c:v>
                </c:pt>
                <c:pt idx="48">
                  <c:v>45575</c:v>
                </c:pt>
                <c:pt idx="49">
                  <c:v>45576</c:v>
                </c:pt>
                <c:pt idx="50">
                  <c:v>45579</c:v>
                </c:pt>
                <c:pt idx="51">
                  <c:v>45580</c:v>
                </c:pt>
                <c:pt idx="52">
                  <c:v>45581</c:v>
                </c:pt>
                <c:pt idx="53">
                  <c:v>45582</c:v>
                </c:pt>
                <c:pt idx="54">
                  <c:v>45583</c:v>
                </c:pt>
                <c:pt idx="55">
                  <c:v>45586</c:v>
                </c:pt>
                <c:pt idx="56">
                  <c:v>45587</c:v>
                </c:pt>
                <c:pt idx="57">
                  <c:v>45588</c:v>
                </c:pt>
                <c:pt idx="58">
                  <c:v>45589</c:v>
                </c:pt>
                <c:pt idx="59">
                  <c:v>45590</c:v>
                </c:pt>
                <c:pt idx="60">
                  <c:v>45593</c:v>
                </c:pt>
                <c:pt idx="61">
                  <c:v>45594</c:v>
                </c:pt>
                <c:pt idx="62">
                  <c:v>45595</c:v>
                </c:pt>
                <c:pt idx="63">
                  <c:v>45596</c:v>
                </c:pt>
                <c:pt idx="64">
                  <c:v>45597</c:v>
                </c:pt>
                <c:pt idx="65">
                  <c:v>45600</c:v>
                </c:pt>
                <c:pt idx="66">
                  <c:v>45601</c:v>
                </c:pt>
                <c:pt idx="67">
                  <c:v>45602</c:v>
                </c:pt>
                <c:pt idx="68">
                  <c:v>45603</c:v>
                </c:pt>
                <c:pt idx="69">
                  <c:v>45604</c:v>
                </c:pt>
                <c:pt idx="70">
                  <c:v>45607</c:v>
                </c:pt>
                <c:pt idx="71">
                  <c:v>45608</c:v>
                </c:pt>
                <c:pt idx="72">
                  <c:v>45609</c:v>
                </c:pt>
                <c:pt idx="73">
                  <c:v>45610</c:v>
                </c:pt>
                <c:pt idx="74">
                  <c:v>45614</c:v>
                </c:pt>
                <c:pt idx="75">
                  <c:v>45615</c:v>
                </c:pt>
                <c:pt idx="76">
                  <c:v>45617</c:v>
                </c:pt>
                <c:pt idx="77">
                  <c:v>45618</c:v>
                </c:pt>
                <c:pt idx="78">
                  <c:v>45621</c:v>
                </c:pt>
                <c:pt idx="79">
                  <c:v>45622</c:v>
                </c:pt>
                <c:pt idx="80">
                  <c:v>45623</c:v>
                </c:pt>
                <c:pt idx="81">
                  <c:v>45624</c:v>
                </c:pt>
                <c:pt idx="82">
                  <c:v>45625</c:v>
                </c:pt>
                <c:pt idx="83">
                  <c:v>45628</c:v>
                </c:pt>
                <c:pt idx="84">
                  <c:v>45629</c:v>
                </c:pt>
                <c:pt idx="85">
                  <c:v>45630</c:v>
                </c:pt>
                <c:pt idx="86">
                  <c:v>45631</c:v>
                </c:pt>
                <c:pt idx="87">
                  <c:v>45632</c:v>
                </c:pt>
                <c:pt idx="88">
                  <c:v>45635</c:v>
                </c:pt>
                <c:pt idx="89">
                  <c:v>45636</c:v>
                </c:pt>
                <c:pt idx="90">
                  <c:v>45637</c:v>
                </c:pt>
                <c:pt idx="91">
                  <c:v>45638</c:v>
                </c:pt>
                <c:pt idx="92">
                  <c:v>45639</c:v>
                </c:pt>
                <c:pt idx="93">
                  <c:v>45642</c:v>
                </c:pt>
                <c:pt idx="94">
                  <c:v>45643</c:v>
                </c:pt>
                <c:pt idx="95">
                  <c:v>45644</c:v>
                </c:pt>
                <c:pt idx="96">
                  <c:v>45645</c:v>
                </c:pt>
                <c:pt idx="97">
                  <c:v>45646</c:v>
                </c:pt>
                <c:pt idx="98">
                  <c:v>45649</c:v>
                </c:pt>
                <c:pt idx="99">
                  <c:v>45650</c:v>
                </c:pt>
                <c:pt idx="100">
                  <c:v>45652</c:v>
                </c:pt>
                <c:pt idx="101">
                  <c:v>45653</c:v>
                </c:pt>
                <c:pt idx="102">
                  <c:v>45656</c:v>
                </c:pt>
                <c:pt idx="103">
                  <c:v>45657</c:v>
                </c:pt>
                <c:pt idx="104">
                  <c:v>45658</c:v>
                </c:pt>
                <c:pt idx="105">
                  <c:v>45659</c:v>
                </c:pt>
                <c:pt idx="106">
                  <c:v>45660</c:v>
                </c:pt>
                <c:pt idx="107">
                  <c:v>45663</c:v>
                </c:pt>
                <c:pt idx="108">
                  <c:v>45664</c:v>
                </c:pt>
                <c:pt idx="109">
                  <c:v>45665</c:v>
                </c:pt>
                <c:pt idx="110">
                  <c:v>45666</c:v>
                </c:pt>
                <c:pt idx="111">
                  <c:v>45667</c:v>
                </c:pt>
                <c:pt idx="112">
                  <c:v>45670</c:v>
                </c:pt>
                <c:pt idx="113">
                  <c:v>45671</c:v>
                </c:pt>
                <c:pt idx="114">
                  <c:v>45672</c:v>
                </c:pt>
                <c:pt idx="115">
                  <c:v>45673</c:v>
                </c:pt>
                <c:pt idx="116">
                  <c:v>45674</c:v>
                </c:pt>
                <c:pt idx="117">
                  <c:v>45677</c:v>
                </c:pt>
                <c:pt idx="118">
                  <c:v>45678</c:v>
                </c:pt>
                <c:pt idx="119">
                  <c:v>45679</c:v>
                </c:pt>
                <c:pt idx="120">
                  <c:v>45680</c:v>
                </c:pt>
                <c:pt idx="121">
                  <c:v>45681</c:v>
                </c:pt>
                <c:pt idx="122">
                  <c:v>45684</c:v>
                </c:pt>
                <c:pt idx="123">
                  <c:v>45685</c:v>
                </c:pt>
                <c:pt idx="124">
                  <c:v>45686</c:v>
                </c:pt>
                <c:pt idx="125">
                  <c:v>45687</c:v>
                </c:pt>
                <c:pt idx="126">
                  <c:v>45688</c:v>
                </c:pt>
                <c:pt idx="127">
                  <c:v>45689</c:v>
                </c:pt>
                <c:pt idx="128">
                  <c:v>45691</c:v>
                </c:pt>
                <c:pt idx="129">
                  <c:v>45692</c:v>
                </c:pt>
                <c:pt idx="130">
                  <c:v>45693</c:v>
                </c:pt>
                <c:pt idx="131">
                  <c:v>45694</c:v>
                </c:pt>
                <c:pt idx="132">
                  <c:v>45695</c:v>
                </c:pt>
                <c:pt idx="133">
                  <c:v>45698</c:v>
                </c:pt>
                <c:pt idx="134">
                  <c:v>45699</c:v>
                </c:pt>
                <c:pt idx="135">
                  <c:v>45700</c:v>
                </c:pt>
                <c:pt idx="136">
                  <c:v>45701</c:v>
                </c:pt>
                <c:pt idx="137">
                  <c:v>45702</c:v>
                </c:pt>
                <c:pt idx="138">
                  <c:v>45705</c:v>
                </c:pt>
                <c:pt idx="139">
                  <c:v>45706</c:v>
                </c:pt>
                <c:pt idx="140">
                  <c:v>45707</c:v>
                </c:pt>
                <c:pt idx="141">
                  <c:v>45708</c:v>
                </c:pt>
                <c:pt idx="142">
                  <c:v>45709</c:v>
                </c:pt>
                <c:pt idx="143">
                  <c:v>45712</c:v>
                </c:pt>
                <c:pt idx="144">
                  <c:v>45713</c:v>
                </c:pt>
                <c:pt idx="145">
                  <c:v>45715</c:v>
                </c:pt>
                <c:pt idx="146">
                  <c:v>45716</c:v>
                </c:pt>
                <c:pt idx="147">
                  <c:v>45719</c:v>
                </c:pt>
                <c:pt idx="148">
                  <c:v>45720</c:v>
                </c:pt>
                <c:pt idx="149">
                  <c:v>45721</c:v>
                </c:pt>
                <c:pt idx="150">
                  <c:v>45722</c:v>
                </c:pt>
                <c:pt idx="151">
                  <c:v>45723</c:v>
                </c:pt>
                <c:pt idx="152">
                  <c:v>45726</c:v>
                </c:pt>
                <c:pt idx="153">
                  <c:v>45727</c:v>
                </c:pt>
                <c:pt idx="154">
                  <c:v>45728</c:v>
                </c:pt>
                <c:pt idx="155">
                  <c:v>45729</c:v>
                </c:pt>
                <c:pt idx="156">
                  <c:v>45733</c:v>
                </c:pt>
                <c:pt idx="157">
                  <c:v>45734</c:v>
                </c:pt>
                <c:pt idx="158">
                  <c:v>45735</c:v>
                </c:pt>
                <c:pt idx="159">
                  <c:v>45736</c:v>
                </c:pt>
                <c:pt idx="160">
                  <c:v>45737</c:v>
                </c:pt>
                <c:pt idx="161">
                  <c:v>45740</c:v>
                </c:pt>
                <c:pt idx="162">
                  <c:v>45741</c:v>
                </c:pt>
                <c:pt idx="163">
                  <c:v>45742</c:v>
                </c:pt>
                <c:pt idx="164">
                  <c:v>45743</c:v>
                </c:pt>
                <c:pt idx="165">
                  <c:v>45744</c:v>
                </c:pt>
                <c:pt idx="166">
                  <c:v>45748</c:v>
                </c:pt>
                <c:pt idx="167">
                  <c:v>45749</c:v>
                </c:pt>
                <c:pt idx="168">
                  <c:v>45750</c:v>
                </c:pt>
                <c:pt idx="169">
                  <c:v>45751</c:v>
                </c:pt>
                <c:pt idx="170">
                  <c:v>45754</c:v>
                </c:pt>
                <c:pt idx="171">
                  <c:v>45755</c:v>
                </c:pt>
                <c:pt idx="172">
                  <c:v>45756</c:v>
                </c:pt>
                <c:pt idx="173">
                  <c:v>45758</c:v>
                </c:pt>
                <c:pt idx="174">
                  <c:v>45762</c:v>
                </c:pt>
                <c:pt idx="175">
                  <c:v>45763</c:v>
                </c:pt>
                <c:pt idx="176">
                  <c:v>45764</c:v>
                </c:pt>
                <c:pt idx="177">
                  <c:v>45768</c:v>
                </c:pt>
                <c:pt idx="178">
                  <c:v>45769</c:v>
                </c:pt>
                <c:pt idx="179">
                  <c:v>45770</c:v>
                </c:pt>
                <c:pt idx="180">
                  <c:v>45771</c:v>
                </c:pt>
                <c:pt idx="181">
                  <c:v>45772</c:v>
                </c:pt>
                <c:pt idx="182">
                  <c:v>45775</c:v>
                </c:pt>
                <c:pt idx="183">
                  <c:v>45776</c:v>
                </c:pt>
                <c:pt idx="184">
                  <c:v>45777</c:v>
                </c:pt>
                <c:pt idx="185">
                  <c:v>45779</c:v>
                </c:pt>
                <c:pt idx="186">
                  <c:v>45782</c:v>
                </c:pt>
                <c:pt idx="187">
                  <c:v>45783</c:v>
                </c:pt>
                <c:pt idx="188">
                  <c:v>45784</c:v>
                </c:pt>
                <c:pt idx="189">
                  <c:v>45785</c:v>
                </c:pt>
                <c:pt idx="190">
                  <c:v>45786</c:v>
                </c:pt>
                <c:pt idx="191">
                  <c:v>45789</c:v>
                </c:pt>
                <c:pt idx="192">
                  <c:v>45790</c:v>
                </c:pt>
                <c:pt idx="193">
                  <c:v>45791</c:v>
                </c:pt>
                <c:pt idx="194">
                  <c:v>45792</c:v>
                </c:pt>
                <c:pt idx="195">
                  <c:v>45793</c:v>
                </c:pt>
                <c:pt idx="196">
                  <c:v>45796</c:v>
                </c:pt>
                <c:pt idx="197">
                  <c:v>45797</c:v>
                </c:pt>
                <c:pt idx="198">
                  <c:v>45798</c:v>
                </c:pt>
                <c:pt idx="199">
                  <c:v>45799</c:v>
                </c:pt>
                <c:pt idx="200">
                  <c:v>45800</c:v>
                </c:pt>
                <c:pt idx="201">
                  <c:v>45803</c:v>
                </c:pt>
                <c:pt idx="202">
                  <c:v>45804</c:v>
                </c:pt>
                <c:pt idx="203">
                  <c:v>45805</c:v>
                </c:pt>
                <c:pt idx="204">
                  <c:v>45806</c:v>
                </c:pt>
                <c:pt idx="205">
                  <c:v>45807</c:v>
                </c:pt>
                <c:pt idx="206">
                  <c:v>45810</c:v>
                </c:pt>
                <c:pt idx="207">
                  <c:v>45811</c:v>
                </c:pt>
                <c:pt idx="208">
                  <c:v>45812</c:v>
                </c:pt>
                <c:pt idx="209">
                  <c:v>45813</c:v>
                </c:pt>
                <c:pt idx="210">
                  <c:v>45814</c:v>
                </c:pt>
                <c:pt idx="211">
                  <c:v>45817</c:v>
                </c:pt>
                <c:pt idx="212">
                  <c:v>45818</c:v>
                </c:pt>
                <c:pt idx="213">
                  <c:v>45819</c:v>
                </c:pt>
                <c:pt idx="214">
                  <c:v>45820</c:v>
                </c:pt>
                <c:pt idx="215">
                  <c:v>45821</c:v>
                </c:pt>
                <c:pt idx="216">
                  <c:v>45824</c:v>
                </c:pt>
                <c:pt idx="217">
                  <c:v>45825</c:v>
                </c:pt>
                <c:pt idx="218">
                  <c:v>45826</c:v>
                </c:pt>
                <c:pt idx="219">
                  <c:v>45827</c:v>
                </c:pt>
                <c:pt idx="220">
                  <c:v>45828</c:v>
                </c:pt>
                <c:pt idx="221">
                  <c:v>45831</c:v>
                </c:pt>
                <c:pt idx="222">
                  <c:v>45832</c:v>
                </c:pt>
                <c:pt idx="223">
                  <c:v>45833</c:v>
                </c:pt>
                <c:pt idx="224">
                  <c:v>45834</c:v>
                </c:pt>
                <c:pt idx="225">
                  <c:v>45835</c:v>
                </c:pt>
                <c:pt idx="226">
                  <c:v>45838</c:v>
                </c:pt>
                <c:pt idx="227">
                  <c:v>45839</c:v>
                </c:pt>
                <c:pt idx="228">
                  <c:v>45840</c:v>
                </c:pt>
                <c:pt idx="229">
                  <c:v>45841</c:v>
                </c:pt>
                <c:pt idx="230">
                  <c:v>45842</c:v>
                </c:pt>
                <c:pt idx="231">
                  <c:v>45845</c:v>
                </c:pt>
                <c:pt idx="232">
                  <c:v>45846</c:v>
                </c:pt>
                <c:pt idx="233">
                  <c:v>45847</c:v>
                </c:pt>
                <c:pt idx="234">
                  <c:v>45848</c:v>
                </c:pt>
                <c:pt idx="235">
                  <c:v>45849</c:v>
                </c:pt>
                <c:pt idx="236">
                  <c:v>45852</c:v>
                </c:pt>
                <c:pt idx="237">
                  <c:v>45853</c:v>
                </c:pt>
                <c:pt idx="238">
                  <c:v>45854</c:v>
                </c:pt>
                <c:pt idx="239">
                  <c:v>45855</c:v>
                </c:pt>
                <c:pt idx="240">
                  <c:v>45856</c:v>
                </c:pt>
                <c:pt idx="241">
                  <c:v>45859</c:v>
                </c:pt>
                <c:pt idx="242">
                  <c:v>45860</c:v>
                </c:pt>
                <c:pt idx="243">
                  <c:v>45861</c:v>
                </c:pt>
                <c:pt idx="244">
                  <c:v>45862</c:v>
                </c:pt>
                <c:pt idx="245">
                  <c:v>45863</c:v>
                </c:pt>
                <c:pt idx="246">
                  <c:v>45866</c:v>
                </c:pt>
                <c:pt idx="247">
                  <c:v>45867</c:v>
                </c:pt>
                <c:pt idx="248">
                  <c:v>45868</c:v>
                </c:pt>
                <c:pt idx="249">
                  <c:v>45869</c:v>
                </c:pt>
                <c:pt idx="250">
                  <c:v>45870</c:v>
                </c:pt>
              </c:numCache>
            </c:numRef>
          </c:cat>
          <c:val>
            <c:numRef>
              <c:f>'Beta Calculation'!$C$4:$C$254</c:f>
              <c:numCache>
                <c:formatCode>General</c:formatCode>
                <c:ptCount val="251"/>
                <c:pt idx="0">
                  <c:v>642.95000000000005</c:v>
                </c:pt>
                <c:pt idx="1">
                  <c:v>627.29999999999995</c:v>
                </c:pt>
                <c:pt idx="2">
                  <c:v>634.04999999999995</c:v>
                </c:pt>
                <c:pt idx="3">
                  <c:v>629.1</c:v>
                </c:pt>
                <c:pt idx="4">
                  <c:v>639.4</c:v>
                </c:pt>
                <c:pt idx="5">
                  <c:v>637.25</c:v>
                </c:pt>
                <c:pt idx="6">
                  <c:v>624.04999999999995</c:v>
                </c:pt>
                <c:pt idx="7">
                  <c:v>620.29999999999995</c:v>
                </c:pt>
                <c:pt idx="8">
                  <c:v>606.15</c:v>
                </c:pt>
                <c:pt idx="9">
                  <c:v>604.25</c:v>
                </c:pt>
                <c:pt idx="10">
                  <c:v>617.35</c:v>
                </c:pt>
                <c:pt idx="11">
                  <c:v>621.20000000000005</c:v>
                </c:pt>
                <c:pt idx="12">
                  <c:v>623.1</c:v>
                </c:pt>
                <c:pt idx="13">
                  <c:v>634.5</c:v>
                </c:pt>
                <c:pt idx="14">
                  <c:v>645.75</c:v>
                </c:pt>
                <c:pt idx="15">
                  <c:v>643.35</c:v>
                </c:pt>
                <c:pt idx="16">
                  <c:v>654.54999999999995</c:v>
                </c:pt>
                <c:pt idx="17">
                  <c:v>643.25</c:v>
                </c:pt>
                <c:pt idx="18">
                  <c:v>644.15</c:v>
                </c:pt>
                <c:pt idx="19">
                  <c:v>643.9</c:v>
                </c:pt>
                <c:pt idx="20">
                  <c:v>637.29999999999995</c:v>
                </c:pt>
                <c:pt idx="21">
                  <c:v>636.65</c:v>
                </c:pt>
                <c:pt idx="22">
                  <c:v>638.35</c:v>
                </c:pt>
                <c:pt idx="23">
                  <c:v>650.15</c:v>
                </c:pt>
                <c:pt idx="24">
                  <c:v>644.54999999999995</c:v>
                </c:pt>
                <c:pt idx="25">
                  <c:v>644.6</c:v>
                </c:pt>
                <c:pt idx="26">
                  <c:v>661.95</c:v>
                </c:pt>
                <c:pt idx="27">
                  <c:v>664.7</c:v>
                </c:pt>
                <c:pt idx="28">
                  <c:v>663.9</c:v>
                </c:pt>
                <c:pt idx="29">
                  <c:v>664.6</c:v>
                </c:pt>
                <c:pt idx="30">
                  <c:v>660.7</c:v>
                </c:pt>
                <c:pt idx="31">
                  <c:v>661.2</c:v>
                </c:pt>
                <c:pt idx="32">
                  <c:v>660.4</c:v>
                </c:pt>
                <c:pt idx="33">
                  <c:v>654.20000000000005</c:v>
                </c:pt>
                <c:pt idx="34">
                  <c:v>664.75</c:v>
                </c:pt>
                <c:pt idx="35">
                  <c:v>667.8</c:v>
                </c:pt>
                <c:pt idx="36">
                  <c:v>661</c:v>
                </c:pt>
                <c:pt idx="37">
                  <c:v>655.75</c:v>
                </c:pt>
                <c:pt idx="38">
                  <c:v>627.1</c:v>
                </c:pt>
                <c:pt idx="39">
                  <c:v>625.70000000000005</c:v>
                </c:pt>
                <c:pt idx="40">
                  <c:v>633.04999999999995</c:v>
                </c:pt>
                <c:pt idx="41">
                  <c:v>625.35</c:v>
                </c:pt>
                <c:pt idx="42">
                  <c:v>618.9</c:v>
                </c:pt>
                <c:pt idx="43">
                  <c:v>580.6</c:v>
                </c:pt>
                <c:pt idx="44">
                  <c:v>572.15</c:v>
                </c:pt>
                <c:pt idx="45">
                  <c:v>569.35</c:v>
                </c:pt>
                <c:pt idx="46">
                  <c:v>567.15</c:v>
                </c:pt>
                <c:pt idx="47">
                  <c:v>564.79999999999995</c:v>
                </c:pt>
                <c:pt idx="48">
                  <c:v>571.9</c:v>
                </c:pt>
                <c:pt idx="49">
                  <c:v>570.79999999999995</c:v>
                </c:pt>
                <c:pt idx="50">
                  <c:v>567.29999999999995</c:v>
                </c:pt>
                <c:pt idx="51">
                  <c:v>570.95000000000005</c:v>
                </c:pt>
                <c:pt idx="52">
                  <c:v>578.15</c:v>
                </c:pt>
                <c:pt idx="53">
                  <c:v>572.70000000000005</c:v>
                </c:pt>
                <c:pt idx="54">
                  <c:v>571.29999999999995</c:v>
                </c:pt>
                <c:pt idx="55">
                  <c:v>567.79999999999995</c:v>
                </c:pt>
                <c:pt idx="56">
                  <c:v>558.9</c:v>
                </c:pt>
                <c:pt idx="57">
                  <c:v>558.45000000000005</c:v>
                </c:pt>
                <c:pt idx="58">
                  <c:v>541.25</c:v>
                </c:pt>
                <c:pt idx="59">
                  <c:v>538.5</c:v>
                </c:pt>
                <c:pt idx="60">
                  <c:v>553.85</c:v>
                </c:pt>
                <c:pt idx="61">
                  <c:v>535.85</c:v>
                </c:pt>
                <c:pt idx="62">
                  <c:v>546.95000000000005</c:v>
                </c:pt>
                <c:pt idx="63">
                  <c:v>539.95000000000005</c:v>
                </c:pt>
                <c:pt idx="64">
                  <c:v>543.1</c:v>
                </c:pt>
                <c:pt idx="65">
                  <c:v>534.95000000000005</c:v>
                </c:pt>
                <c:pt idx="66">
                  <c:v>534.70000000000005</c:v>
                </c:pt>
                <c:pt idx="67">
                  <c:v>539.54999999999995</c:v>
                </c:pt>
                <c:pt idx="68">
                  <c:v>534.29999999999995</c:v>
                </c:pt>
                <c:pt idx="69">
                  <c:v>531.6</c:v>
                </c:pt>
                <c:pt idx="70">
                  <c:v>522.95000000000005</c:v>
                </c:pt>
                <c:pt idx="71">
                  <c:v>511.05</c:v>
                </c:pt>
                <c:pt idx="72">
                  <c:v>510.75</c:v>
                </c:pt>
                <c:pt idx="73">
                  <c:v>507.45</c:v>
                </c:pt>
                <c:pt idx="74">
                  <c:v>508.2</c:v>
                </c:pt>
                <c:pt idx="75">
                  <c:v>508.25</c:v>
                </c:pt>
                <c:pt idx="76">
                  <c:v>505.8</c:v>
                </c:pt>
                <c:pt idx="77">
                  <c:v>512.9</c:v>
                </c:pt>
                <c:pt idx="78">
                  <c:v>521.65</c:v>
                </c:pt>
                <c:pt idx="79">
                  <c:v>525.25</c:v>
                </c:pt>
                <c:pt idx="80">
                  <c:v>527.4</c:v>
                </c:pt>
                <c:pt idx="81">
                  <c:v>526.04999999999995</c:v>
                </c:pt>
                <c:pt idx="82">
                  <c:v>527.04999999999995</c:v>
                </c:pt>
                <c:pt idx="83">
                  <c:v>524.5</c:v>
                </c:pt>
                <c:pt idx="84">
                  <c:v>522.79999999999995</c:v>
                </c:pt>
                <c:pt idx="85">
                  <c:v>522.35</c:v>
                </c:pt>
                <c:pt idx="86">
                  <c:v>521.9</c:v>
                </c:pt>
                <c:pt idx="87">
                  <c:v>523.54999999999995</c:v>
                </c:pt>
                <c:pt idx="88">
                  <c:v>506.95</c:v>
                </c:pt>
                <c:pt idx="89">
                  <c:v>507.1</c:v>
                </c:pt>
                <c:pt idx="90">
                  <c:v>508.9</c:v>
                </c:pt>
                <c:pt idx="91">
                  <c:v>506.9</c:v>
                </c:pt>
                <c:pt idx="92">
                  <c:v>512.6</c:v>
                </c:pt>
                <c:pt idx="93">
                  <c:v>510.1</c:v>
                </c:pt>
                <c:pt idx="94">
                  <c:v>505.95</c:v>
                </c:pt>
                <c:pt idx="95">
                  <c:v>505.4</c:v>
                </c:pt>
                <c:pt idx="96">
                  <c:v>504</c:v>
                </c:pt>
                <c:pt idx="97">
                  <c:v>501.9</c:v>
                </c:pt>
                <c:pt idx="98">
                  <c:v>510.1</c:v>
                </c:pt>
                <c:pt idx="99">
                  <c:v>509.9</c:v>
                </c:pt>
                <c:pt idx="100">
                  <c:v>505.75</c:v>
                </c:pt>
                <c:pt idx="101">
                  <c:v>507.35</c:v>
                </c:pt>
                <c:pt idx="102">
                  <c:v>506</c:v>
                </c:pt>
                <c:pt idx="103">
                  <c:v>506.85</c:v>
                </c:pt>
                <c:pt idx="104">
                  <c:v>511</c:v>
                </c:pt>
                <c:pt idx="105">
                  <c:v>513.29999999999995</c:v>
                </c:pt>
                <c:pt idx="106">
                  <c:v>525.04999999999995</c:v>
                </c:pt>
                <c:pt idx="107">
                  <c:v>504.8</c:v>
                </c:pt>
                <c:pt idx="108">
                  <c:v>509.15</c:v>
                </c:pt>
                <c:pt idx="109">
                  <c:v>513.70000000000005</c:v>
                </c:pt>
                <c:pt idx="110">
                  <c:v>521.04999999999995</c:v>
                </c:pt>
                <c:pt idx="111">
                  <c:v>517.79999999999995</c:v>
                </c:pt>
                <c:pt idx="112">
                  <c:v>510.8</c:v>
                </c:pt>
                <c:pt idx="113">
                  <c:v>512.95000000000005</c:v>
                </c:pt>
                <c:pt idx="114">
                  <c:v>514.70000000000005</c:v>
                </c:pt>
                <c:pt idx="115">
                  <c:v>522.45000000000005</c:v>
                </c:pt>
                <c:pt idx="116">
                  <c:v>525.95000000000005</c:v>
                </c:pt>
                <c:pt idx="117">
                  <c:v>521.29999999999995</c:v>
                </c:pt>
                <c:pt idx="118">
                  <c:v>521.15</c:v>
                </c:pt>
                <c:pt idx="119">
                  <c:v>520.79999999999995</c:v>
                </c:pt>
                <c:pt idx="120">
                  <c:v>524.15</c:v>
                </c:pt>
                <c:pt idx="121">
                  <c:v>521.9</c:v>
                </c:pt>
                <c:pt idx="122">
                  <c:v>523.29999999999995</c:v>
                </c:pt>
                <c:pt idx="123">
                  <c:v>524.25</c:v>
                </c:pt>
                <c:pt idx="124">
                  <c:v>518.15</c:v>
                </c:pt>
                <c:pt idx="125">
                  <c:v>533.70000000000005</c:v>
                </c:pt>
                <c:pt idx="126">
                  <c:v>529.4</c:v>
                </c:pt>
                <c:pt idx="127">
                  <c:v>538</c:v>
                </c:pt>
                <c:pt idx="128">
                  <c:v>534.4</c:v>
                </c:pt>
                <c:pt idx="129">
                  <c:v>541.25</c:v>
                </c:pt>
                <c:pt idx="130">
                  <c:v>531.45000000000005</c:v>
                </c:pt>
                <c:pt idx="131">
                  <c:v>526.20000000000005</c:v>
                </c:pt>
                <c:pt idx="132">
                  <c:v>527.25</c:v>
                </c:pt>
                <c:pt idx="133">
                  <c:v>528.35</c:v>
                </c:pt>
                <c:pt idx="134">
                  <c:v>517.54999999999995</c:v>
                </c:pt>
                <c:pt idx="135">
                  <c:v>525.5</c:v>
                </c:pt>
                <c:pt idx="136">
                  <c:v>519.9</c:v>
                </c:pt>
                <c:pt idx="137">
                  <c:v>519.79999999999995</c:v>
                </c:pt>
                <c:pt idx="138">
                  <c:v>520.70000000000005</c:v>
                </c:pt>
                <c:pt idx="139">
                  <c:v>515</c:v>
                </c:pt>
                <c:pt idx="140">
                  <c:v>504.55</c:v>
                </c:pt>
                <c:pt idx="141">
                  <c:v>510.25</c:v>
                </c:pt>
                <c:pt idx="142">
                  <c:v>508.35</c:v>
                </c:pt>
                <c:pt idx="143">
                  <c:v>505.55</c:v>
                </c:pt>
                <c:pt idx="144">
                  <c:v>510.15</c:v>
                </c:pt>
                <c:pt idx="145">
                  <c:v>503.65</c:v>
                </c:pt>
                <c:pt idx="146">
                  <c:v>494.15</c:v>
                </c:pt>
                <c:pt idx="147">
                  <c:v>491.35</c:v>
                </c:pt>
                <c:pt idx="148">
                  <c:v>483.35</c:v>
                </c:pt>
                <c:pt idx="149">
                  <c:v>488.1</c:v>
                </c:pt>
                <c:pt idx="150">
                  <c:v>495.05</c:v>
                </c:pt>
                <c:pt idx="151">
                  <c:v>495.5</c:v>
                </c:pt>
                <c:pt idx="152">
                  <c:v>493.25</c:v>
                </c:pt>
                <c:pt idx="153">
                  <c:v>497.6</c:v>
                </c:pt>
                <c:pt idx="154">
                  <c:v>499.85</c:v>
                </c:pt>
                <c:pt idx="155">
                  <c:v>500.95</c:v>
                </c:pt>
                <c:pt idx="156">
                  <c:v>494.85</c:v>
                </c:pt>
                <c:pt idx="157">
                  <c:v>499.1</c:v>
                </c:pt>
                <c:pt idx="158">
                  <c:v>495.1</c:v>
                </c:pt>
                <c:pt idx="159">
                  <c:v>499.2</c:v>
                </c:pt>
                <c:pt idx="160">
                  <c:v>507.05</c:v>
                </c:pt>
                <c:pt idx="161">
                  <c:v>507.05</c:v>
                </c:pt>
                <c:pt idx="162">
                  <c:v>509.05</c:v>
                </c:pt>
                <c:pt idx="163">
                  <c:v>509</c:v>
                </c:pt>
                <c:pt idx="164">
                  <c:v>512.65</c:v>
                </c:pt>
                <c:pt idx="165">
                  <c:v>506.55</c:v>
                </c:pt>
                <c:pt idx="166">
                  <c:v>497.6</c:v>
                </c:pt>
                <c:pt idx="167">
                  <c:v>495.5</c:v>
                </c:pt>
                <c:pt idx="168">
                  <c:v>465.6</c:v>
                </c:pt>
                <c:pt idx="169">
                  <c:v>461.75</c:v>
                </c:pt>
                <c:pt idx="170">
                  <c:v>451.45</c:v>
                </c:pt>
                <c:pt idx="171">
                  <c:v>459.35</c:v>
                </c:pt>
                <c:pt idx="172">
                  <c:v>465.6</c:v>
                </c:pt>
                <c:pt idx="173">
                  <c:v>461.3</c:v>
                </c:pt>
                <c:pt idx="174">
                  <c:v>473.55</c:v>
                </c:pt>
                <c:pt idx="175">
                  <c:v>481.3</c:v>
                </c:pt>
                <c:pt idx="176">
                  <c:v>479.2</c:v>
                </c:pt>
                <c:pt idx="177">
                  <c:v>475.5</c:v>
                </c:pt>
                <c:pt idx="178">
                  <c:v>484.55</c:v>
                </c:pt>
                <c:pt idx="179">
                  <c:v>486</c:v>
                </c:pt>
                <c:pt idx="180">
                  <c:v>491.4</c:v>
                </c:pt>
                <c:pt idx="181">
                  <c:v>484.15</c:v>
                </c:pt>
                <c:pt idx="182">
                  <c:v>482.15</c:v>
                </c:pt>
                <c:pt idx="183">
                  <c:v>483.7</c:v>
                </c:pt>
                <c:pt idx="184">
                  <c:v>487.45</c:v>
                </c:pt>
                <c:pt idx="185">
                  <c:v>480.4</c:v>
                </c:pt>
                <c:pt idx="186">
                  <c:v>481.85</c:v>
                </c:pt>
                <c:pt idx="187">
                  <c:v>480.6</c:v>
                </c:pt>
                <c:pt idx="188">
                  <c:v>482.6</c:v>
                </c:pt>
                <c:pt idx="189">
                  <c:v>469.25</c:v>
                </c:pt>
                <c:pt idx="190">
                  <c:v>462.85</c:v>
                </c:pt>
                <c:pt idx="191">
                  <c:v>475.3</c:v>
                </c:pt>
                <c:pt idx="192">
                  <c:v>473.35</c:v>
                </c:pt>
                <c:pt idx="193">
                  <c:v>469.1</c:v>
                </c:pt>
                <c:pt idx="194">
                  <c:v>468.85</c:v>
                </c:pt>
                <c:pt idx="195">
                  <c:v>476.4</c:v>
                </c:pt>
                <c:pt idx="196">
                  <c:v>483.7</c:v>
                </c:pt>
                <c:pt idx="197">
                  <c:v>475.8</c:v>
                </c:pt>
                <c:pt idx="198">
                  <c:v>481.85</c:v>
                </c:pt>
                <c:pt idx="199">
                  <c:v>477.1</c:v>
                </c:pt>
                <c:pt idx="200">
                  <c:v>481.8</c:v>
                </c:pt>
                <c:pt idx="201">
                  <c:v>481.1</c:v>
                </c:pt>
                <c:pt idx="202">
                  <c:v>484.55</c:v>
                </c:pt>
                <c:pt idx="203">
                  <c:v>484.7</c:v>
                </c:pt>
                <c:pt idx="204">
                  <c:v>482.1</c:v>
                </c:pt>
                <c:pt idx="205">
                  <c:v>484.15</c:v>
                </c:pt>
                <c:pt idx="206">
                  <c:v>484.45</c:v>
                </c:pt>
                <c:pt idx="207">
                  <c:v>485.5</c:v>
                </c:pt>
                <c:pt idx="208">
                  <c:v>492.35</c:v>
                </c:pt>
                <c:pt idx="209">
                  <c:v>488.25</c:v>
                </c:pt>
                <c:pt idx="210">
                  <c:v>481.25</c:v>
                </c:pt>
                <c:pt idx="211">
                  <c:v>485.5</c:v>
                </c:pt>
                <c:pt idx="212">
                  <c:v>489.4</c:v>
                </c:pt>
                <c:pt idx="213">
                  <c:v>487.4</c:v>
                </c:pt>
                <c:pt idx="214">
                  <c:v>472.85</c:v>
                </c:pt>
                <c:pt idx="215">
                  <c:v>466.65</c:v>
                </c:pt>
                <c:pt idx="216">
                  <c:v>471.7</c:v>
                </c:pt>
                <c:pt idx="217">
                  <c:v>472</c:v>
                </c:pt>
                <c:pt idx="218">
                  <c:v>469.7</c:v>
                </c:pt>
                <c:pt idx="219">
                  <c:v>465.15</c:v>
                </c:pt>
                <c:pt idx="220">
                  <c:v>466.7</c:v>
                </c:pt>
                <c:pt idx="221">
                  <c:v>467.65</c:v>
                </c:pt>
                <c:pt idx="222">
                  <c:v>475.15</c:v>
                </c:pt>
                <c:pt idx="223">
                  <c:v>480.1</c:v>
                </c:pt>
                <c:pt idx="224">
                  <c:v>481.75</c:v>
                </c:pt>
                <c:pt idx="225">
                  <c:v>485.9</c:v>
                </c:pt>
                <c:pt idx="226">
                  <c:v>485.1</c:v>
                </c:pt>
                <c:pt idx="227">
                  <c:v>482.4</c:v>
                </c:pt>
                <c:pt idx="228">
                  <c:v>487.45</c:v>
                </c:pt>
                <c:pt idx="229">
                  <c:v>491.45</c:v>
                </c:pt>
                <c:pt idx="230">
                  <c:v>495.25</c:v>
                </c:pt>
                <c:pt idx="231">
                  <c:v>512.75</c:v>
                </c:pt>
                <c:pt idx="232">
                  <c:v>512.9</c:v>
                </c:pt>
                <c:pt idx="233">
                  <c:v>522.15</c:v>
                </c:pt>
                <c:pt idx="234">
                  <c:v>522.35</c:v>
                </c:pt>
                <c:pt idx="235">
                  <c:v>531.45000000000005</c:v>
                </c:pt>
                <c:pt idx="236">
                  <c:v>526.1</c:v>
                </c:pt>
                <c:pt idx="237">
                  <c:v>527</c:v>
                </c:pt>
                <c:pt idx="238">
                  <c:v>527.9</c:v>
                </c:pt>
                <c:pt idx="239">
                  <c:v>528.35</c:v>
                </c:pt>
                <c:pt idx="240">
                  <c:v>522.70000000000005</c:v>
                </c:pt>
                <c:pt idx="241">
                  <c:v>514.6</c:v>
                </c:pt>
                <c:pt idx="242">
                  <c:v>515.25</c:v>
                </c:pt>
                <c:pt idx="243">
                  <c:v>513.85</c:v>
                </c:pt>
                <c:pt idx="244">
                  <c:v>512.65</c:v>
                </c:pt>
                <c:pt idx="245">
                  <c:v>511.25</c:v>
                </c:pt>
                <c:pt idx="246">
                  <c:v>522.04999999999995</c:v>
                </c:pt>
                <c:pt idx="247">
                  <c:v>517.85</c:v>
                </c:pt>
                <c:pt idx="248">
                  <c:v>521.95000000000005</c:v>
                </c:pt>
                <c:pt idx="249">
                  <c:v>529.1</c:v>
                </c:pt>
                <c:pt idx="250">
                  <c:v>533.85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B28-BA45-BFE5-D600560520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6613280"/>
        <c:axId val="273595024"/>
      </c:lineChart>
      <c:dateAx>
        <c:axId val="1206613280"/>
        <c:scaling>
          <c:orientation val="minMax"/>
        </c:scaling>
        <c:delete val="0"/>
        <c:axPos val="b"/>
        <c:numFmt formatCode="d\-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3595024"/>
        <c:crosses val="autoZero"/>
        <c:auto val="1"/>
        <c:lblOffset val="100"/>
        <c:baseTimeUnit val="days"/>
      </c:dateAx>
      <c:valAx>
        <c:axId val="2735950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66132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areaChart>
        <c:grouping val="stacked"/>
        <c:varyColors val="0"/>
        <c:ser>
          <c:idx val="0"/>
          <c:order val="0"/>
          <c:tx>
            <c:strRef>
              <c:f>'Work Sheet'!$C$54</c:f>
              <c:strCache>
                <c:ptCount val="1"/>
                <c:pt idx="0">
                  <c:v>Close Price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cat>
            <c:numRef>
              <c:f>'Work Sheet'!$B$55:$B$111</c:f>
              <c:numCache>
                <c:formatCode>mmm\-yy</c:formatCode>
                <c:ptCount val="57"/>
                <c:pt idx="0">
                  <c:v>44197</c:v>
                </c:pt>
                <c:pt idx="1">
                  <c:v>44228</c:v>
                </c:pt>
                <c:pt idx="2">
                  <c:v>44256</c:v>
                </c:pt>
                <c:pt idx="3">
                  <c:v>44287</c:v>
                </c:pt>
                <c:pt idx="4">
                  <c:v>44317</c:v>
                </c:pt>
                <c:pt idx="5">
                  <c:v>44348</c:v>
                </c:pt>
                <c:pt idx="6">
                  <c:v>44378</c:v>
                </c:pt>
                <c:pt idx="7">
                  <c:v>44409</c:v>
                </c:pt>
                <c:pt idx="8">
                  <c:v>44440</c:v>
                </c:pt>
                <c:pt idx="9">
                  <c:v>44470</c:v>
                </c:pt>
                <c:pt idx="10">
                  <c:v>44501</c:v>
                </c:pt>
                <c:pt idx="11">
                  <c:v>44531</c:v>
                </c:pt>
                <c:pt idx="12">
                  <c:v>44562</c:v>
                </c:pt>
                <c:pt idx="13">
                  <c:v>44593</c:v>
                </c:pt>
                <c:pt idx="14">
                  <c:v>44621</c:v>
                </c:pt>
                <c:pt idx="15">
                  <c:v>44652</c:v>
                </c:pt>
                <c:pt idx="16">
                  <c:v>44682</c:v>
                </c:pt>
                <c:pt idx="17">
                  <c:v>44713</c:v>
                </c:pt>
                <c:pt idx="18">
                  <c:v>44743</c:v>
                </c:pt>
                <c:pt idx="19">
                  <c:v>44774</c:v>
                </c:pt>
                <c:pt idx="20">
                  <c:v>44805</c:v>
                </c:pt>
                <c:pt idx="21">
                  <c:v>44835</c:v>
                </c:pt>
                <c:pt idx="22">
                  <c:v>44866</c:v>
                </c:pt>
                <c:pt idx="23">
                  <c:v>44896</c:v>
                </c:pt>
                <c:pt idx="24">
                  <c:v>44927</c:v>
                </c:pt>
                <c:pt idx="25">
                  <c:v>44958</c:v>
                </c:pt>
                <c:pt idx="26">
                  <c:v>44986</c:v>
                </c:pt>
                <c:pt idx="27">
                  <c:v>45017</c:v>
                </c:pt>
                <c:pt idx="28">
                  <c:v>45047</c:v>
                </c:pt>
                <c:pt idx="29">
                  <c:v>45078</c:v>
                </c:pt>
                <c:pt idx="30">
                  <c:v>45108</c:v>
                </c:pt>
                <c:pt idx="31">
                  <c:v>45139</c:v>
                </c:pt>
                <c:pt idx="32">
                  <c:v>45170</c:v>
                </c:pt>
                <c:pt idx="33">
                  <c:v>45200</c:v>
                </c:pt>
                <c:pt idx="34">
                  <c:v>45231</c:v>
                </c:pt>
                <c:pt idx="35">
                  <c:v>45261</c:v>
                </c:pt>
                <c:pt idx="36">
                  <c:v>45292</c:v>
                </c:pt>
                <c:pt idx="37">
                  <c:v>45323</c:v>
                </c:pt>
                <c:pt idx="38">
                  <c:v>45352</c:v>
                </c:pt>
                <c:pt idx="39">
                  <c:v>45383</c:v>
                </c:pt>
                <c:pt idx="40">
                  <c:v>45413</c:v>
                </c:pt>
                <c:pt idx="41">
                  <c:v>45444</c:v>
                </c:pt>
                <c:pt idx="42">
                  <c:v>45474</c:v>
                </c:pt>
                <c:pt idx="43">
                  <c:v>45505</c:v>
                </c:pt>
                <c:pt idx="44">
                  <c:v>45536</c:v>
                </c:pt>
                <c:pt idx="45">
                  <c:v>45566</c:v>
                </c:pt>
                <c:pt idx="46">
                  <c:v>45597</c:v>
                </c:pt>
                <c:pt idx="47">
                  <c:v>45627</c:v>
                </c:pt>
                <c:pt idx="48">
                  <c:v>45658</c:v>
                </c:pt>
                <c:pt idx="49">
                  <c:v>45689</c:v>
                </c:pt>
                <c:pt idx="50">
                  <c:v>45717</c:v>
                </c:pt>
                <c:pt idx="51">
                  <c:v>45748</c:v>
                </c:pt>
                <c:pt idx="52">
                  <c:v>45778</c:v>
                </c:pt>
                <c:pt idx="53">
                  <c:v>45809</c:v>
                </c:pt>
                <c:pt idx="54">
                  <c:v>45839</c:v>
                </c:pt>
                <c:pt idx="55">
                  <c:v>45870</c:v>
                </c:pt>
                <c:pt idx="56">
                  <c:v>45901</c:v>
                </c:pt>
              </c:numCache>
            </c:numRef>
          </c:cat>
          <c:val>
            <c:numRef>
              <c:f>'Work Sheet'!$C$55:$C$111</c:f>
              <c:numCache>
                <c:formatCode>General</c:formatCode>
                <c:ptCount val="57"/>
                <c:pt idx="0">
                  <c:v>515.25</c:v>
                </c:pt>
                <c:pt idx="1">
                  <c:v>503.35</c:v>
                </c:pt>
                <c:pt idx="2">
                  <c:v>540.70000000000005</c:v>
                </c:pt>
                <c:pt idx="3">
                  <c:v>538.45000000000005</c:v>
                </c:pt>
                <c:pt idx="4">
                  <c:v>540.4</c:v>
                </c:pt>
                <c:pt idx="5">
                  <c:v>568.79999999999995</c:v>
                </c:pt>
                <c:pt idx="6">
                  <c:v>600.5</c:v>
                </c:pt>
                <c:pt idx="7">
                  <c:v>620.85</c:v>
                </c:pt>
                <c:pt idx="8">
                  <c:v>617.1</c:v>
                </c:pt>
                <c:pt idx="9">
                  <c:v>586.29999999999995</c:v>
                </c:pt>
                <c:pt idx="10">
                  <c:v>595.4</c:v>
                </c:pt>
                <c:pt idx="11">
                  <c:v>580.4</c:v>
                </c:pt>
                <c:pt idx="12">
                  <c:v>537.25</c:v>
                </c:pt>
                <c:pt idx="13">
                  <c:v>563.75</c:v>
                </c:pt>
                <c:pt idx="14">
                  <c:v>536.54999999999995</c:v>
                </c:pt>
                <c:pt idx="15">
                  <c:v>556.85</c:v>
                </c:pt>
                <c:pt idx="16">
                  <c:v>518.75</c:v>
                </c:pt>
                <c:pt idx="17">
                  <c:v>495.95</c:v>
                </c:pt>
                <c:pt idx="18">
                  <c:v>584.15</c:v>
                </c:pt>
                <c:pt idx="19">
                  <c:v>583.4</c:v>
                </c:pt>
                <c:pt idx="20">
                  <c:v>572.54999999999995</c:v>
                </c:pt>
                <c:pt idx="21">
                  <c:v>554.54999999999995</c:v>
                </c:pt>
                <c:pt idx="22">
                  <c:v>589.15</c:v>
                </c:pt>
                <c:pt idx="23">
                  <c:v>561.4</c:v>
                </c:pt>
                <c:pt idx="24">
                  <c:v>557.65</c:v>
                </c:pt>
                <c:pt idx="25">
                  <c:v>533.04999999999995</c:v>
                </c:pt>
                <c:pt idx="26">
                  <c:v>545.1</c:v>
                </c:pt>
                <c:pt idx="27">
                  <c:v>532.85</c:v>
                </c:pt>
                <c:pt idx="28">
                  <c:v>554.6</c:v>
                </c:pt>
                <c:pt idx="29">
                  <c:v>572.9</c:v>
                </c:pt>
                <c:pt idx="30">
                  <c:v>575.54999999999995</c:v>
                </c:pt>
                <c:pt idx="31">
                  <c:v>553.29999999999995</c:v>
                </c:pt>
                <c:pt idx="32">
                  <c:v>551.54999999999995</c:v>
                </c:pt>
                <c:pt idx="33">
                  <c:v>528.79999999999995</c:v>
                </c:pt>
                <c:pt idx="34">
                  <c:v>538.25</c:v>
                </c:pt>
                <c:pt idx="35">
                  <c:v>556.95000000000005</c:v>
                </c:pt>
                <c:pt idx="36">
                  <c:v>537.70000000000005</c:v>
                </c:pt>
                <c:pt idx="37">
                  <c:v>538.25</c:v>
                </c:pt>
                <c:pt idx="38">
                  <c:v>523.15</c:v>
                </c:pt>
                <c:pt idx="39">
                  <c:v>507.55</c:v>
                </c:pt>
                <c:pt idx="40">
                  <c:v>546.04999999999995</c:v>
                </c:pt>
                <c:pt idx="41">
                  <c:v>600.85</c:v>
                </c:pt>
                <c:pt idx="42">
                  <c:v>635.35</c:v>
                </c:pt>
                <c:pt idx="43">
                  <c:v>637.29999999999995</c:v>
                </c:pt>
                <c:pt idx="44">
                  <c:v>625.35</c:v>
                </c:pt>
                <c:pt idx="45">
                  <c:v>539.95000000000005</c:v>
                </c:pt>
                <c:pt idx="46">
                  <c:v>527.04999999999995</c:v>
                </c:pt>
                <c:pt idx="47">
                  <c:v>506.85</c:v>
                </c:pt>
                <c:pt idx="48">
                  <c:v>529.4</c:v>
                </c:pt>
                <c:pt idx="49">
                  <c:v>494.15</c:v>
                </c:pt>
                <c:pt idx="50">
                  <c:v>506.55</c:v>
                </c:pt>
                <c:pt idx="51">
                  <c:v>487.45</c:v>
                </c:pt>
                <c:pt idx="52">
                  <c:v>484.15</c:v>
                </c:pt>
                <c:pt idx="53">
                  <c:v>485.1</c:v>
                </c:pt>
                <c:pt idx="54">
                  <c:v>529.1</c:v>
                </c:pt>
                <c:pt idx="55">
                  <c:v>520.95000000000005</c:v>
                </c:pt>
                <c:pt idx="56">
                  <c:v>515.20000000000005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09-7B49-82AA-F7F2FF8183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0561264"/>
        <c:axId val="1623160463"/>
      </c:areaChart>
      <c:dateAx>
        <c:axId val="4505612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160463"/>
        <c:crosses val="autoZero"/>
        <c:auto val="1"/>
        <c:lblOffset val="100"/>
        <c:baseTimeUnit val="months"/>
      </c:dateAx>
      <c:valAx>
        <c:axId val="16231604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561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US" sz="1600" b="1" i="0" u="none" strike="noStrike" kern="1200" cap="all" spc="120" normalizeH="0" baseline="0" noProof="0">
                <a:ln>
                  <a:noFill/>
                </a:ln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uLnTx/>
                <a:uFillTx/>
                <a:latin typeface="Aptos Narrow" panose="02110004020202020204"/>
              </a:rPr>
              <a:t>Close Price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spPr>
            <a:solidFill>
              <a:schemeClr val="accent3"/>
            </a:solidFill>
            <a:ln>
              <a:noFill/>
            </a:ln>
            <a:effectLst/>
          </c:spPr>
          <c:val>
            <c:numRef>
              <c:f>'Work Sheet'!$C$55:$C$111</c:f>
              <c:numCache>
                <c:formatCode>General</c:formatCode>
                <c:ptCount val="57"/>
                <c:pt idx="0">
                  <c:v>515.25</c:v>
                </c:pt>
                <c:pt idx="1">
                  <c:v>503.35</c:v>
                </c:pt>
                <c:pt idx="2">
                  <c:v>540.70000000000005</c:v>
                </c:pt>
                <c:pt idx="3">
                  <c:v>538.45000000000005</c:v>
                </c:pt>
                <c:pt idx="4">
                  <c:v>540.4</c:v>
                </c:pt>
                <c:pt idx="5">
                  <c:v>568.79999999999995</c:v>
                </c:pt>
                <c:pt idx="6">
                  <c:v>600.5</c:v>
                </c:pt>
                <c:pt idx="7">
                  <c:v>620.85</c:v>
                </c:pt>
                <c:pt idx="8">
                  <c:v>617.1</c:v>
                </c:pt>
                <c:pt idx="9">
                  <c:v>586.29999999999995</c:v>
                </c:pt>
                <c:pt idx="10">
                  <c:v>595.4</c:v>
                </c:pt>
                <c:pt idx="11">
                  <c:v>580.4</c:v>
                </c:pt>
                <c:pt idx="12">
                  <c:v>537.25</c:v>
                </c:pt>
                <c:pt idx="13">
                  <c:v>563.75</c:v>
                </c:pt>
                <c:pt idx="14">
                  <c:v>536.54999999999995</c:v>
                </c:pt>
                <c:pt idx="15">
                  <c:v>556.85</c:v>
                </c:pt>
                <c:pt idx="16">
                  <c:v>518.75</c:v>
                </c:pt>
                <c:pt idx="17">
                  <c:v>495.95</c:v>
                </c:pt>
                <c:pt idx="18">
                  <c:v>584.15</c:v>
                </c:pt>
                <c:pt idx="19">
                  <c:v>583.4</c:v>
                </c:pt>
                <c:pt idx="20">
                  <c:v>572.54999999999995</c:v>
                </c:pt>
                <c:pt idx="21">
                  <c:v>554.54999999999995</c:v>
                </c:pt>
                <c:pt idx="22">
                  <c:v>589.15</c:v>
                </c:pt>
                <c:pt idx="23">
                  <c:v>561.4</c:v>
                </c:pt>
                <c:pt idx="24">
                  <c:v>557.65</c:v>
                </c:pt>
                <c:pt idx="25">
                  <c:v>533.04999999999995</c:v>
                </c:pt>
                <c:pt idx="26">
                  <c:v>545.1</c:v>
                </c:pt>
                <c:pt idx="27">
                  <c:v>532.85</c:v>
                </c:pt>
                <c:pt idx="28">
                  <c:v>554.6</c:v>
                </c:pt>
                <c:pt idx="29">
                  <c:v>572.9</c:v>
                </c:pt>
                <c:pt idx="30">
                  <c:v>575.54999999999995</c:v>
                </c:pt>
                <c:pt idx="31">
                  <c:v>553.29999999999995</c:v>
                </c:pt>
                <c:pt idx="32">
                  <c:v>551.54999999999995</c:v>
                </c:pt>
                <c:pt idx="33">
                  <c:v>528.79999999999995</c:v>
                </c:pt>
                <c:pt idx="34">
                  <c:v>538.25</c:v>
                </c:pt>
                <c:pt idx="35">
                  <c:v>556.95000000000005</c:v>
                </c:pt>
                <c:pt idx="36">
                  <c:v>537.70000000000005</c:v>
                </c:pt>
                <c:pt idx="37">
                  <c:v>538.25</c:v>
                </c:pt>
                <c:pt idx="38">
                  <c:v>523.15</c:v>
                </c:pt>
                <c:pt idx="39">
                  <c:v>507.55</c:v>
                </c:pt>
                <c:pt idx="40">
                  <c:v>546.04999999999995</c:v>
                </c:pt>
                <c:pt idx="41">
                  <c:v>600.85</c:v>
                </c:pt>
                <c:pt idx="42">
                  <c:v>635.35</c:v>
                </c:pt>
                <c:pt idx="43">
                  <c:v>637.29999999999995</c:v>
                </c:pt>
                <c:pt idx="44">
                  <c:v>625.35</c:v>
                </c:pt>
                <c:pt idx="45">
                  <c:v>539.95000000000005</c:v>
                </c:pt>
                <c:pt idx="46">
                  <c:v>527.04999999999995</c:v>
                </c:pt>
                <c:pt idx="47">
                  <c:v>506.85</c:v>
                </c:pt>
                <c:pt idx="48">
                  <c:v>529.4</c:v>
                </c:pt>
                <c:pt idx="49">
                  <c:v>494.15</c:v>
                </c:pt>
                <c:pt idx="50">
                  <c:v>506.55</c:v>
                </c:pt>
                <c:pt idx="51">
                  <c:v>487.45</c:v>
                </c:pt>
                <c:pt idx="52">
                  <c:v>484.15</c:v>
                </c:pt>
                <c:pt idx="53">
                  <c:v>485.1</c:v>
                </c:pt>
                <c:pt idx="54">
                  <c:v>529.1</c:v>
                </c:pt>
                <c:pt idx="55">
                  <c:v>520.95000000000005</c:v>
                </c:pt>
                <c:pt idx="56">
                  <c:v>515.20000000000005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'Work Sheet'!$C$54</c15:sqref>
                        </c15:formulaRef>
                      </c:ext>
                    </c:extLst>
                    <c:strCache>
                      <c:ptCount val="1"/>
                      <c:pt idx="0">
                        <c:v>Close Price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'Work Sheet'!$B$55:$B$111</c15:sqref>
                        </c15:formulaRef>
                      </c:ext>
                    </c:extLst>
                    <c:numCache>
                      <c:formatCode>mmm\-yy</c:formatCode>
                      <c:ptCount val="57"/>
                      <c:pt idx="0">
                        <c:v>44197</c:v>
                      </c:pt>
                      <c:pt idx="1">
                        <c:v>44228</c:v>
                      </c:pt>
                      <c:pt idx="2">
                        <c:v>44256</c:v>
                      </c:pt>
                      <c:pt idx="3">
                        <c:v>44287</c:v>
                      </c:pt>
                      <c:pt idx="4">
                        <c:v>44317</c:v>
                      </c:pt>
                      <c:pt idx="5">
                        <c:v>44348</c:v>
                      </c:pt>
                      <c:pt idx="6">
                        <c:v>44378</c:v>
                      </c:pt>
                      <c:pt idx="7">
                        <c:v>44409</c:v>
                      </c:pt>
                      <c:pt idx="8">
                        <c:v>44440</c:v>
                      </c:pt>
                      <c:pt idx="9">
                        <c:v>44470</c:v>
                      </c:pt>
                      <c:pt idx="10">
                        <c:v>44501</c:v>
                      </c:pt>
                      <c:pt idx="11">
                        <c:v>44531</c:v>
                      </c:pt>
                      <c:pt idx="12">
                        <c:v>44562</c:v>
                      </c:pt>
                      <c:pt idx="13">
                        <c:v>44593</c:v>
                      </c:pt>
                      <c:pt idx="14">
                        <c:v>44621</c:v>
                      </c:pt>
                      <c:pt idx="15">
                        <c:v>44652</c:v>
                      </c:pt>
                      <c:pt idx="16">
                        <c:v>44682</c:v>
                      </c:pt>
                      <c:pt idx="17">
                        <c:v>44713</c:v>
                      </c:pt>
                      <c:pt idx="18">
                        <c:v>44743</c:v>
                      </c:pt>
                      <c:pt idx="19">
                        <c:v>44774</c:v>
                      </c:pt>
                      <c:pt idx="20">
                        <c:v>44805</c:v>
                      </c:pt>
                      <c:pt idx="21">
                        <c:v>44835</c:v>
                      </c:pt>
                      <c:pt idx="22">
                        <c:v>44866</c:v>
                      </c:pt>
                      <c:pt idx="23">
                        <c:v>44896</c:v>
                      </c:pt>
                      <c:pt idx="24">
                        <c:v>44927</c:v>
                      </c:pt>
                      <c:pt idx="25">
                        <c:v>44958</c:v>
                      </c:pt>
                      <c:pt idx="26">
                        <c:v>44986</c:v>
                      </c:pt>
                      <c:pt idx="27">
                        <c:v>45017</c:v>
                      </c:pt>
                      <c:pt idx="28">
                        <c:v>45047</c:v>
                      </c:pt>
                      <c:pt idx="29">
                        <c:v>45078</c:v>
                      </c:pt>
                      <c:pt idx="30">
                        <c:v>45108</c:v>
                      </c:pt>
                      <c:pt idx="31">
                        <c:v>45139</c:v>
                      </c:pt>
                      <c:pt idx="32">
                        <c:v>45170</c:v>
                      </c:pt>
                      <c:pt idx="33">
                        <c:v>45200</c:v>
                      </c:pt>
                      <c:pt idx="34">
                        <c:v>45231</c:v>
                      </c:pt>
                      <c:pt idx="35">
                        <c:v>45261</c:v>
                      </c:pt>
                      <c:pt idx="36">
                        <c:v>45292</c:v>
                      </c:pt>
                      <c:pt idx="37">
                        <c:v>45323</c:v>
                      </c:pt>
                      <c:pt idx="38">
                        <c:v>45352</c:v>
                      </c:pt>
                      <c:pt idx="39">
                        <c:v>45383</c:v>
                      </c:pt>
                      <c:pt idx="40">
                        <c:v>45413</c:v>
                      </c:pt>
                      <c:pt idx="41">
                        <c:v>45444</c:v>
                      </c:pt>
                      <c:pt idx="42">
                        <c:v>45474</c:v>
                      </c:pt>
                      <c:pt idx="43">
                        <c:v>45505</c:v>
                      </c:pt>
                      <c:pt idx="44">
                        <c:v>45536</c:v>
                      </c:pt>
                      <c:pt idx="45">
                        <c:v>45566</c:v>
                      </c:pt>
                      <c:pt idx="46">
                        <c:v>45597</c:v>
                      </c:pt>
                      <c:pt idx="47">
                        <c:v>45627</c:v>
                      </c:pt>
                      <c:pt idx="48">
                        <c:v>45658</c:v>
                      </c:pt>
                      <c:pt idx="49">
                        <c:v>45689</c:v>
                      </c:pt>
                      <c:pt idx="50">
                        <c:v>45717</c:v>
                      </c:pt>
                      <c:pt idx="51">
                        <c:v>45748</c:v>
                      </c:pt>
                      <c:pt idx="52">
                        <c:v>45778</c:v>
                      </c:pt>
                      <c:pt idx="53">
                        <c:v>45809</c:v>
                      </c:pt>
                      <c:pt idx="54">
                        <c:v>45839</c:v>
                      </c:pt>
                      <c:pt idx="55">
                        <c:v>45870</c:v>
                      </c:pt>
                      <c:pt idx="56">
                        <c:v>45901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67D3-CD42-B1AF-D13B0E4FA1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0561264"/>
        <c:axId val="1623160463"/>
      </c:areaChart>
      <c:catAx>
        <c:axId val="450561264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160463"/>
        <c:crosses val="autoZero"/>
        <c:auto val="1"/>
        <c:lblAlgn val="ctr"/>
        <c:lblOffset val="100"/>
        <c:noMultiLvlLbl val="0"/>
      </c:catAx>
      <c:valAx>
        <c:axId val="162316046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05612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GB"/>
              <a:t>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('Forecasted sheet'!$E$5:$I$5,'Forecasted sheet'!$L$5:$R$5)</c:f>
              <c:strCache>
                <c:ptCount val="12"/>
                <c:pt idx="0">
                  <c:v>FY- 2021</c:v>
                </c:pt>
                <c:pt idx="1">
                  <c:v>FY - 2022</c:v>
                </c:pt>
                <c:pt idx="2">
                  <c:v>FY- 2023</c:v>
                </c:pt>
                <c:pt idx="3">
                  <c:v>FY- 2024</c:v>
                </c:pt>
                <c:pt idx="4">
                  <c:v>FY - 2025</c:v>
                </c:pt>
                <c:pt idx="5">
                  <c:v>FY - 2026</c:v>
                </c:pt>
                <c:pt idx="6">
                  <c:v>FY- 2027</c:v>
                </c:pt>
                <c:pt idx="7">
                  <c:v>FY- 2028</c:v>
                </c:pt>
                <c:pt idx="8">
                  <c:v>FY - 2029</c:v>
                </c:pt>
                <c:pt idx="9">
                  <c:v>FY - 2030</c:v>
                </c:pt>
                <c:pt idx="10">
                  <c:v>FY- 2031</c:v>
                </c:pt>
                <c:pt idx="11">
                  <c:v>FY- 2032</c:v>
                </c:pt>
              </c:strCache>
            </c:strRef>
          </c:cat>
          <c:val>
            <c:numRef>
              <c:f>('Forecasted sheet'!$E$6:$I$6,'Forecasted sheet'!$L$6:$R$6)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A6-8E48-85FC-36AD4DC4178F}"/>
            </c:ext>
          </c:extLst>
        </c:ser>
        <c:ser>
          <c:idx val="1"/>
          <c:order val="1"/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('Forecasted sheet'!$E$5:$I$5,'Forecasted sheet'!$L$5:$R$5)</c:f>
              <c:strCache>
                <c:ptCount val="12"/>
                <c:pt idx="0">
                  <c:v>FY- 2021</c:v>
                </c:pt>
                <c:pt idx="1">
                  <c:v>FY - 2022</c:v>
                </c:pt>
                <c:pt idx="2">
                  <c:v>FY- 2023</c:v>
                </c:pt>
                <c:pt idx="3">
                  <c:v>FY- 2024</c:v>
                </c:pt>
                <c:pt idx="4">
                  <c:v>FY - 2025</c:v>
                </c:pt>
                <c:pt idx="5">
                  <c:v>FY - 2026</c:v>
                </c:pt>
                <c:pt idx="6">
                  <c:v>FY- 2027</c:v>
                </c:pt>
                <c:pt idx="7">
                  <c:v>FY- 2028</c:v>
                </c:pt>
                <c:pt idx="8">
                  <c:v>FY - 2029</c:v>
                </c:pt>
                <c:pt idx="9">
                  <c:v>FY - 2030</c:v>
                </c:pt>
                <c:pt idx="10">
                  <c:v>FY- 2031</c:v>
                </c:pt>
                <c:pt idx="11">
                  <c:v>FY- 2032</c:v>
                </c:pt>
              </c:strCache>
            </c:strRef>
          </c:cat>
          <c:val>
            <c:numRef>
              <c:f>('Forecasted sheet'!$E$7:$I$7,'Forecasted sheet'!$L$7:$R$7)</c:f>
              <c:numCache>
                <c:formatCode>_("₹"* #,##0.00_);_("₹"* \(#,##0.00\);_("₹"* "-"??_);_(@_)</c:formatCode>
                <c:ptCount val="12"/>
                <c:pt idx="0">
                  <c:v>9562</c:v>
                </c:pt>
                <c:pt idx="1">
                  <c:v>10889</c:v>
                </c:pt>
                <c:pt idx="2">
                  <c:v>11530</c:v>
                </c:pt>
                <c:pt idx="3">
                  <c:v>12404</c:v>
                </c:pt>
                <c:pt idx="4">
                  <c:v>12563</c:v>
                </c:pt>
                <c:pt idx="5">
                  <c:v>12877.074999999999</c:v>
                </c:pt>
                <c:pt idx="6">
                  <c:v>13199.001874999998</c:v>
                </c:pt>
                <c:pt idx="7">
                  <c:v>13528.976921874997</c:v>
                </c:pt>
                <c:pt idx="8">
                  <c:v>13867.20134492187</c:v>
                </c:pt>
                <c:pt idx="9">
                  <c:v>14213.881378544917</c:v>
                </c:pt>
                <c:pt idx="10">
                  <c:v>14569.228413008539</c:v>
                </c:pt>
                <c:pt idx="11">
                  <c:v>14933.459123333751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A6-8E48-85FC-36AD4DC417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7285312"/>
        <c:axId val="397222416"/>
      </c:lineChart>
      <c:catAx>
        <c:axId val="397285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7222416"/>
        <c:crosses val="autoZero"/>
        <c:auto val="1"/>
        <c:lblAlgn val="ctr"/>
        <c:lblOffset val="100"/>
        <c:noMultiLvlLbl val="0"/>
      </c:catAx>
      <c:valAx>
        <c:axId val="39722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7285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349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('Forecasted sheet'!$E$5:$I$5,'Forecasted sheet'!$L$5:$R$5)</c:f>
              <c:strCache>
                <c:ptCount val="12"/>
                <c:pt idx="0">
                  <c:v>FY- 2021</c:v>
                </c:pt>
                <c:pt idx="1">
                  <c:v>FY - 2022</c:v>
                </c:pt>
                <c:pt idx="2">
                  <c:v>FY- 2023</c:v>
                </c:pt>
                <c:pt idx="3">
                  <c:v>FY- 2024</c:v>
                </c:pt>
                <c:pt idx="4">
                  <c:v>FY - 2025</c:v>
                </c:pt>
                <c:pt idx="5">
                  <c:v>FY - 2026</c:v>
                </c:pt>
                <c:pt idx="6">
                  <c:v>FY- 2027</c:v>
                </c:pt>
                <c:pt idx="7">
                  <c:v>FY- 2028</c:v>
                </c:pt>
                <c:pt idx="8">
                  <c:v>FY - 2029</c:v>
                </c:pt>
                <c:pt idx="9">
                  <c:v>FY - 2030</c:v>
                </c:pt>
                <c:pt idx="10">
                  <c:v>FY- 2031</c:v>
                </c:pt>
                <c:pt idx="11">
                  <c:v>FY- 2032</c:v>
                </c:pt>
              </c:strCache>
            </c:strRef>
          </c:cat>
          <c:val>
            <c:numRef>
              <c:f>('Forecasted sheet'!$E$6:$I$6,'Forecasted sheet'!$L$6:$R$6)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C9-0943-A141-02488A3A898F}"/>
            </c:ext>
          </c:extLst>
        </c:ser>
        <c:ser>
          <c:idx val="1"/>
          <c:order val="1"/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cat>
            <c:strRef>
              <c:f>('Forecasted sheet'!$E$5:$I$5,'Forecasted sheet'!$L$5:$R$5)</c:f>
              <c:strCache>
                <c:ptCount val="12"/>
                <c:pt idx="0">
                  <c:v>FY- 2021</c:v>
                </c:pt>
                <c:pt idx="1">
                  <c:v>FY - 2022</c:v>
                </c:pt>
                <c:pt idx="2">
                  <c:v>FY- 2023</c:v>
                </c:pt>
                <c:pt idx="3">
                  <c:v>FY- 2024</c:v>
                </c:pt>
                <c:pt idx="4">
                  <c:v>FY - 2025</c:v>
                </c:pt>
                <c:pt idx="5">
                  <c:v>FY - 2026</c:v>
                </c:pt>
                <c:pt idx="6">
                  <c:v>FY- 2027</c:v>
                </c:pt>
                <c:pt idx="7">
                  <c:v>FY- 2028</c:v>
                </c:pt>
                <c:pt idx="8">
                  <c:v>FY - 2029</c:v>
                </c:pt>
                <c:pt idx="9">
                  <c:v>FY - 2030</c:v>
                </c:pt>
                <c:pt idx="10">
                  <c:v>FY- 2031</c:v>
                </c:pt>
                <c:pt idx="11">
                  <c:v>FY- 2032</c:v>
                </c:pt>
              </c:strCache>
            </c:strRef>
          </c:cat>
          <c:val>
            <c:numRef>
              <c:f>('Forecasted sheet'!$E$9:$I$9,'Forecasted sheet'!$L$9:$R$9)</c:f>
              <c:numCache>
                <c:formatCode>_("₹"* #,##0.00_);_("₹"* \(#,##0.00\);_("₹"* "-"??_);_(@_)</c:formatCode>
                <c:ptCount val="12"/>
                <c:pt idx="0">
                  <c:v>2092.04</c:v>
                </c:pt>
                <c:pt idx="1">
                  <c:v>2316.8000000000002</c:v>
                </c:pt>
                <c:pt idx="2">
                  <c:v>2296.9899999999998</c:v>
                </c:pt>
                <c:pt idx="3">
                  <c:v>2481.5500000000002</c:v>
                </c:pt>
                <c:pt idx="4">
                  <c:v>2423.94</c:v>
                </c:pt>
                <c:pt idx="5">
                  <c:v>2636.6424877359204</c:v>
                </c:pt>
                <c:pt idx="6">
                  <c:v>2702.5585499293184</c:v>
                </c:pt>
                <c:pt idx="7">
                  <c:v>2770.1225136775511</c:v>
                </c:pt>
                <c:pt idx="8">
                  <c:v>2839.3755765194896</c:v>
                </c:pt>
                <c:pt idx="9">
                  <c:v>2910.3599659324764</c:v>
                </c:pt>
                <c:pt idx="10">
                  <c:v>2983.1189650807883</c:v>
                </c:pt>
                <c:pt idx="11">
                  <c:v>3057.6969392078076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C9-0943-A141-02488A3A89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86871264"/>
        <c:axId val="97302224"/>
      </c:lineChart>
      <c:catAx>
        <c:axId val="386871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302224"/>
        <c:crosses val="autoZero"/>
        <c:auto val="1"/>
        <c:lblAlgn val="ctr"/>
        <c:lblOffset val="100"/>
        <c:noMultiLvlLbl val="0"/>
      </c:catAx>
      <c:valAx>
        <c:axId val="97302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8712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2800" b="1"/>
              <a:t>FCFF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FCFF!$E$3:$J$3</c:f>
              <c:strCache>
                <c:ptCount val="6"/>
                <c:pt idx="0">
                  <c:v>FY- 2027</c:v>
                </c:pt>
                <c:pt idx="1">
                  <c:v>FY- 2028</c:v>
                </c:pt>
                <c:pt idx="2">
                  <c:v>FY - 2029</c:v>
                </c:pt>
                <c:pt idx="3">
                  <c:v>FY - 2030</c:v>
                </c:pt>
                <c:pt idx="4">
                  <c:v>FY- 2031</c:v>
                </c:pt>
                <c:pt idx="5">
                  <c:v>FY- 2032</c:v>
                </c:pt>
              </c:strCache>
            </c:strRef>
          </c:cat>
          <c:val>
            <c:numRef>
              <c:f>FCFF!$E$4:$J$4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3B89-B84E-A191-A33EF13470DA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FCFF!$E$3:$J$3</c:f>
              <c:strCache>
                <c:ptCount val="6"/>
                <c:pt idx="0">
                  <c:v>FY- 2027</c:v>
                </c:pt>
                <c:pt idx="1">
                  <c:v>FY- 2028</c:v>
                </c:pt>
                <c:pt idx="2">
                  <c:v>FY - 2029</c:v>
                </c:pt>
                <c:pt idx="3">
                  <c:v>FY - 2030</c:v>
                </c:pt>
                <c:pt idx="4">
                  <c:v>FY- 2031</c:v>
                </c:pt>
                <c:pt idx="5">
                  <c:v>FY- 2032</c:v>
                </c:pt>
              </c:strCache>
            </c:strRef>
          </c:cat>
          <c:val>
            <c:numRef>
              <c:f>FCFF!$E$12:$J$12</c:f>
              <c:numCache>
                <c:formatCode>_("₹"* #,##0.00_);_("₹"* \(#,##0.00\);_("₹"* "-"??_);_(@_)</c:formatCode>
                <c:ptCount val="6"/>
                <c:pt idx="0">
                  <c:v>1872.6660799298256</c:v>
                </c:pt>
                <c:pt idx="1">
                  <c:v>1919.4827319280714</c:v>
                </c:pt>
                <c:pt idx="2">
                  <c:v>1967.4698002262728</c:v>
                </c:pt>
                <c:pt idx="3">
                  <c:v>2016.6565452319294</c:v>
                </c:pt>
                <c:pt idx="4">
                  <c:v>2067.0729588627273</c:v>
                </c:pt>
                <c:pt idx="5">
                  <c:v>2118.7497828342957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B89-B84E-A191-A33EF1347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86561696"/>
        <c:axId val="550807984"/>
        <c:axId val="0"/>
      </c:bar3DChart>
      <c:catAx>
        <c:axId val="3865616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0807984"/>
        <c:crosses val="autoZero"/>
        <c:auto val="1"/>
        <c:lblAlgn val="ctr"/>
        <c:lblOffset val="100"/>
        <c:noMultiLvlLbl val="0"/>
      </c:catAx>
      <c:valAx>
        <c:axId val="550807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65616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kumimoji="0" lang="en-GB" sz="1400" b="0" i="0" u="none" strike="noStrike" kern="1200" cap="none" spc="0" normalizeH="0" baseline="0" noProof="0">
                <a:ln>
                  <a:noFill/>
                </a:ln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uLnTx/>
                <a:uFillTx/>
                <a:latin typeface="Aptos Narrow" panose="02110004020202020204"/>
              </a:rPr>
              <a:t>Chart Title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'Beta Calculation'!$B$4:$B$254</c:f>
              <c:numCache>
                <c:formatCode>d\-mmm\-yy</c:formatCode>
                <c:ptCount val="251"/>
                <c:pt idx="0">
                  <c:v>45505</c:v>
                </c:pt>
                <c:pt idx="1">
                  <c:v>45506</c:v>
                </c:pt>
                <c:pt idx="2">
                  <c:v>45509</c:v>
                </c:pt>
                <c:pt idx="3">
                  <c:v>45510</c:v>
                </c:pt>
                <c:pt idx="4">
                  <c:v>45511</c:v>
                </c:pt>
                <c:pt idx="5">
                  <c:v>45512</c:v>
                </c:pt>
                <c:pt idx="6">
                  <c:v>45513</c:v>
                </c:pt>
                <c:pt idx="7">
                  <c:v>45516</c:v>
                </c:pt>
                <c:pt idx="8">
                  <c:v>45517</c:v>
                </c:pt>
                <c:pt idx="9">
                  <c:v>45518</c:v>
                </c:pt>
                <c:pt idx="10">
                  <c:v>45520</c:v>
                </c:pt>
                <c:pt idx="11">
                  <c:v>45523</c:v>
                </c:pt>
                <c:pt idx="12">
                  <c:v>45524</c:v>
                </c:pt>
                <c:pt idx="13">
                  <c:v>45525</c:v>
                </c:pt>
                <c:pt idx="14">
                  <c:v>45526</c:v>
                </c:pt>
                <c:pt idx="15">
                  <c:v>45527</c:v>
                </c:pt>
                <c:pt idx="16">
                  <c:v>45530</c:v>
                </c:pt>
                <c:pt idx="17">
                  <c:v>45531</c:v>
                </c:pt>
                <c:pt idx="18">
                  <c:v>45532</c:v>
                </c:pt>
                <c:pt idx="19">
                  <c:v>45533</c:v>
                </c:pt>
                <c:pt idx="20">
                  <c:v>45534</c:v>
                </c:pt>
                <c:pt idx="21">
                  <c:v>45537</c:v>
                </c:pt>
                <c:pt idx="22">
                  <c:v>45538</c:v>
                </c:pt>
                <c:pt idx="23">
                  <c:v>45539</c:v>
                </c:pt>
                <c:pt idx="24">
                  <c:v>45540</c:v>
                </c:pt>
                <c:pt idx="25">
                  <c:v>45541</c:v>
                </c:pt>
                <c:pt idx="26">
                  <c:v>45544</c:v>
                </c:pt>
                <c:pt idx="27">
                  <c:v>45545</c:v>
                </c:pt>
                <c:pt idx="28">
                  <c:v>45546</c:v>
                </c:pt>
                <c:pt idx="29">
                  <c:v>45547</c:v>
                </c:pt>
                <c:pt idx="30">
                  <c:v>45548</c:v>
                </c:pt>
                <c:pt idx="31">
                  <c:v>45551</c:v>
                </c:pt>
                <c:pt idx="32">
                  <c:v>45552</c:v>
                </c:pt>
                <c:pt idx="33">
                  <c:v>45553</c:v>
                </c:pt>
                <c:pt idx="34">
                  <c:v>45554</c:v>
                </c:pt>
                <c:pt idx="35">
                  <c:v>45555</c:v>
                </c:pt>
                <c:pt idx="36">
                  <c:v>45558</c:v>
                </c:pt>
                <c:pt idx="37">
                  <c:v>45559</c:v>
                </c:pt>
                <c:pt idx="38">
                  <c:v>45560</c:v>
                </c:pt>
                <c:pt idx="39">
                  <c:v>45561</c:v>
                </c:pt>
                <c:pt idx="40">
                  <c:v>45562</c:v>
                </c:pt>
                <c:pt idx="41">
                  <c:v>45565</c:v>
                </c:pt>
                <c:pt idx="42">
                  <c:v>45566</c:v>
                </c:pt>
                <c:pt idx="43">
                  <c:v>45568</c:v>
                </c:pt>
                <c:pt idx="44">
                  <c:v>45569</c:v>
                </c:pt>
                <c:pt idx="45">
                  <c:v>45572</c:v>
                </c:pt>
                <c:pt idx="46">
                  <c:v>45573</c:v>
                </c:pt>
                <c:pt idx="47">
                  <c:v>45574</c:v>
                </c:pt>
                <c:pt idx="48">
                  <c:v>45575</c:v>
                </c:pt>
                <c:pt idx="49">
                  <c:v>45576</c:v>
                </c:pt>
                <c:pt idx="50">
                  <c:v>45579</c:v>
                </c:pt>
                <c:pt idx="51">
                  <c:v>45580</c:v>
                </c:pt>
                <c:pt idx="52">
                  <c:v>45581</c:v>
                </c:pt>
                <c:pt idx="53">
                  <c:v>45582</c:v>
                </c:pt>
                <c:pt idx="54">
                  <c:v>45583</c:v>
                </c:pt>
                <c:pt idx="55">
                  <c:v>45586</c:v>
                </c:pt>
                <c:pt idx="56">
                  <c:v>45587</c:v>
                </c:pt>
                <c:pt idx="57">
                  <c:v>45588</c:v>
                </c:pt>
                <c:pt idx="58">
                  <c:v>45589</c:v>
                </c:pt>
                <c:pt idx="59">
                  <c:v>45590</c:v>
                </c:pt>
                <c:pt idx="60">
                  <c:v>45593</c:v>
                </c:pt>
                <c:pt idx="61">
                  <c:v>45594</c:v>
                </c:pt>
                <c:pt idx="62">
                  <c:v>45595</c:v>
                </c:pt>
                <c:pt idx="63">
                  <c:v>45596</c:v>
                </c:pt>
                <c:pt idx="64">
                  <c:v>45597</c:v>
                </c:pt>
                <c:pt idx="65">
                  <c:v>45600</c:v>
                </c:pt>
                <c:pt idx="66">
                  <c:v>45601</c:v>
                </c:pt>
                <c:pt idx="67">
                  <c:v>45602</c:v>
                </c:pt>
                <c:pt idx="68">
                  <c:v>45603</c:v>
                </c:pt>
                <c:pt idx="69">
                  <c:v>45604</c:v>
                </c:pt>
                <c:pt idx="70">
                  <c:v>45607</c:v>
                </c:pt>
                <c:pt idx="71">
                  <c:v>45608</c:v>
                </c:pt>
                <c:pt idx="72">
                  <c:v>45609</c:v>
                </c:pt>
                <c:pt idx="73">
                  <c:v>45610</c:v>
                </c:pt>
                <c:pt idx="74">
                  <c:v>45614</c:v>
                </c:pt>
                <c:pt idx="75">
                  <c:v>45615</c:v>
                </c:pt>
                <c:pt idx="76">
                  <c:v>45617</c:v>
                </c:pt>
                <c:pt idx="77">
                  <c:v>45618</c:v>
                </c:pt>
                <c:pt idx="78">
                  <c:v>45621</c:v>
                </c:pt>
                <c:pt idx="79">
                  <c:v>45622</c:v>
                </c:pt>
                <c:pt idx="80">
                  <c:v>45623</c:v>
                </c:pt>
                <c:pt idx="81">
                  <c:v>45624</c:v>
                </c:pt>
                <c:pt idx="82">
                  <c:v>45625</c:v>
                </c:pt>
                <c:pt idx="83">
                  <c:v>45628</c:v>
                </c:pt>
                <c:pt idx="84">
                  <c:v>45629</c:v>
                </c:pt>
                <c:pt idx="85">
                  <c:v>45630</c:v>
                </c:pt>
                <c:pt idx="86">
                  <c:v>45631</c:v>
                </c:pt>
                <c:pt idx="87">
                  <c:v>45632</c:v>
                </c:pt>
                <c:pt idx="88">
                  <c:v>45635</c:v>
                </c:pt>
                <c:pt idx="89">
                  <c:v>45636</c:v>
                </c:pt>
                <c:pt idx="90">
                  <c:v>45637</c:v>
                </c:pt>
                <c:pt idx="91">
                  <c:v>45638</c:v>
                </c:pt>
                <c:pt idx="92">
                  <c:v>45639</c:v>
                </c:pt>
                <c:pt idx="93">
                  <c:v>45642</c:v>
                </c:pt>
                <c:pt idx="94">
                  <c:v>45643</c:v>
                </c:pt>
                <c:pt idx="95">
                  <c:v>45644</c:v>
                </c:pt>
                <c:pt idx="96">
                  <c:v>45645</c:v>
                </c:pt>
                <c:pt idx="97">
                  <c:v>45646</c:v>
                </c:pt>
                <c:pt idx="98">
                  <c:v>45649</c:v>
                </c:pt>
                <c:pt idx="99">
                  <c:v>45650</c:v>
                </c:pt>
                <c:pt idx="100">
                  <c:v>45652</c:v>
                </c:pt>
                <c:pt idx="101">
                  <c:v>45653</c:v>
                </c:pt>
                <c:pt idx="102">
                  <c:v>45656</c:v>
                </c:pt>
                <c:pt idx="103">
                  <c:v>45657</c:v>
                </c:pt>
                <c:pt idx="104">
                  <c:v>45658</c:v>
                </c:pt>
                <c:pt idx="105">
                  <c:v>45659</c:v>
                </c:pt>
                <c:pt idx="106">
                  <c:v>45660</c:v>
                </c:pt>
                <c:pt idx="107">
                  <c:v>45663</c:v>
                </c:pt>
                <c:pt idx="108">
                  <c:v>45664</c:v>
                </c:pt>
                <c:pt idx="109">
                  <c:v>45665</c:v>
                </c:pt>
                <c:pt idx="110">
                  <c:v>45666</c:v>
                </c:pt>
                <c:pt idx="111">
                  <c:v>45667</c:v>
                </c:pt>
                <c:pt idx="112">
                  <c:v>45670</c:v>
                </c:pt>
                <c:pt idx="113">
                  <c:v>45671</c:v>
                </c:pt>
                <c:pt idx="114">
                  <c:v>45672</c:v>
                </c:pt>
                <c:pt idx="115">
                  <c:v>45673</c:v>
                </c:pt>
                <c:pt idx="116">
                  <c:v>45674</c:v>
                </c:pt>
                <c:pt idx="117">
                  <c:v>45677</c:v>
                </c:pt>
                <c:pt idx="118">
                  <c:v>45678</c:v>
                </c:pt>
                <c:pt idx="119">
                  <c:v>45679</c:v>
                </c:pt>
                <c:pt idx="120">
                  <c:v>45680</c:v>
                </c:pt>
                <c:pt idx="121">
                  <c:v>45681</c:v>
                </c:pt>
                <c:pt idx="122">
                  <c:v>45684</c:v>
                </c:pt>
                <c:pt idx="123">
                  <c:v>45685</c:v>
                </c:pt>
                <c:pt idx="124">
                  <c:v>45686</c:v>
                </c:pt>
                <c:pt idx="125">
                  <c:v>45687</c:v>
                </c:pt>
                <c:pt idx="126">
                  <c:v>45688</c:v>
                </c:pt>
                <c:pt idx="127">
                  <c:v>45689</c:v>
                </c:pt>
                <c:pt idx="128">
                  <c:v>45691</c:v>
                </c:pt>
                <c:pt idx="129">
                  <c:v>45692</c:v>
                </c:pt>
                <c:pt idx="130">
                  <c:v>45693</c:v>
                </c:pt>
                <c:pt idx="131">
                  <c:v>45694</c:v>
                </c:pt>
                <c:pt idx="132">
                  <c:v>45695</c:v>
                </c:pt>
                <c:pt idx="133">
                  <c:v>45698</c:v>
                </c:pt>
                <c:pt idx="134">
                  <c:v>45699</c:v>
                </c:pt>
                <c:pt idx="135">
                  <c:v>45700</c:v>
                </c:pt>
                <c:pt idx="136">
                  <c:v>45701</c:v>
                </c:pt>
                <c:pt idx="137">
                  <c:v>45702</c:v>
                </c:pt>
                <c:pt idx="138">
                  <c:v>45705</c:v>
                </c:pt>
                <c:pt idx="139">
                  <c:v>45706</c:v>
                </c:pt>
                <c:pt idx="140">
                  <c:v>45707</c:v>
                </c:pt>
                <c:pt idx="141">
                  <c:v>45708</c:v>
                </c:pt>
                <c:pt idx="142">
                  <c:v>45709</c:v>
                </c:pt>
                <c:pt idx="143">
                  <c:v>45712</c:v>
                </c:pt>
                <c:pt idx="144">
                  <c:v>45713</c:v>
                </c:pt>
                <c:pt idx="145">
                  <c:v>45715</c:v>
                </c:pt>
                <c:pt idx="146">
                  <c:v>45716</c:v>
                </c:pt>
                <c:pt idx="147">
                  <c:v>45719</c:v>
                </c:pt>
                <c:pt idx="148">
                  <c:v>45720</c:v>
                </c:pt>
                <c:pt idx="149">
                  <c:v>45721</c:v>
                </c:pt>
                <c:pt idx="150">
                  <c:v>45722</c:v>
                </c:pt>
                <c:pt idx="151">
                  <c:v>45723</c:v>
                </c:pt>
                <c:pt idx="152">
                  <c:v>45726</c:v>
                </c:pt>
                <c:pt idx="153">
                  <c:v>45727</c:v>
                </c:pt>
                <c:pt idx="154">
                  <c:v>45728</c:v>
                </c:pt>
                <c:pt idx="155">
                  <c:v>45729</c:v>
                </c:pt>
                <c:pt idx="156">
                  <c:v>45733</c:v>
                </c:pt>
                <c:pt idx="157">
                  <c:v>45734</c:v>
                </c:pt>
                <c:pt idx="158">
                  <c:v>45735</c:v>
                </c:pt>
                <c:pt idx="159">
                  <c:v>45736</c:v>
                </c:pt>
                <c:pt idx="160">
                  <c:v>45737</c:v>
                </c:pt>
                <c:pt idx="161">
                  <c:v>45740</c:v>
                </c:pt>
                <c:pt idx="162">
                  <c:v>45741</c:v>
                </c:pt>
                <c:pt idx="163">
                  <c:v>45742</c:v>
                </c:pt>
                <c:pt idx="164">
                  <c:v>45743</c:v>
                </c:pt>
                <c:pt idx="165">
                  <c:v>45744</c:v>
                </c:pt>
                <c:pt idx="166">
                  <c:v>45748</c:v>
                </c:pt>
                <c:pt idx="167">
                  <c:v>45749</c:v>
                </c:pt>
                <c:pt idx="168">
                  <c:v>45750</c:v>
                </c:pt>
                <c:pt idx="169">
                  <c:v>45751</c:v>
                </c:pt>
                <c:pt idx="170">
                  <c:v>45754</c:v>
                </c:pt>
                <c:pt idx="171">
                  <c:v>45755</c:v>
                </c:pt>
                <c:pt idx="172">
                  <c:v>45756</c:v>
                </c:pt>
                <c:pt idx="173">
                  <c:v>45758</c:v>
                </c:pt>
                <c:pt idx="174">
                  <c:v>45762</c:v>
                </c:pt>
                <c:pt idx="175">
                  <c:v>45763</c:v>
                </c:pt>
                <c:pt idx="176">
                  <c:v>45764</c:v>
                </c:pt>
                <c:pt idx="177">
                  <c:v>45768</c:v>
                </c:pt>
                <c:pt idx="178">
                  <c:v>45769</c:v>
                </c:pt>
                <c:pt idx="179">
                  <c:v>45770</c:v>
                </c:pt>
                <c:pt idx="180">
                  <c:v>45771</c:v>
                </c:pt>
                <c:pt idx="181">
                  <c:v>45772</c:v>
                </c:pt>
                <c:pt idx="182">
                  <c:v>45775</c:v>
                </c:pt>
                <c:pt idx="183">
                  <c:v>45776</c:v>
                </c:pt>
                <c:pt idx="184">
                  <c:v>45777</c:v>
                </c:pt>
                <c:pt idx="185">
                  <c:v>45779</c:v>
                </c:pt>
                <c:pt idx="186">
                  <c:v>45782</c:v>
                </c:pt>
                <c:pt idx="187">
                  <c:v>45783</c:v>
                </c:pt>
                <c:pt idx="188">
                  <c:v>45784</c:v>
                </c:pt>
                <c:pt idx="189">
                  <c:v>45785</c:v>
                </c:pt>
                <c:pt idx="190">
                  <c:v>45786</c:v>
                </c:pt>
                <c:pt idx="191">
                  <c:v>45789</c:v>
                </c:pt>
                <c:pt idx="192">
                  <c:v>45790</c:v>
                </c:pt>
                <c:pt idx="193">
                  <c:v>45791</c:v>
                </c:pt>
                <c:pt idx="194">
                  <c:v>45792</c:v>
                </c:pt>
                <c:pt idx="195">
                  <c:v>45793</c:v>
                </c:pt>
                <c:pt idx="196">
                  <c:v>45796</c:v>
                </c:pt>
                <c:pt idx="197">
                  <c:v>45797</c:v>
                </c:pt>
                <c:pt idx="198">
                  <c:v>45798</c:v>
                </c:pt>
                <c:pt idx="199">
                  <c:v>45799</c:v>
                </c:pt>
                <c:pt idx="200">
                  <c:v>45800</c:v>
                </c:pt>
                <c:pt idx="201">
                  <c:v>45803</c:v>
                </c:pt>
                <c:pt idx="202">
                  <c:v>45804</c:v>
                </c:pt>
                <c:pt idx="203">
                  <c:v>45805</c:v>
                </c:pt>
                <c:pt idx="204">
                  <c:v>45806</c:v>
                </c:pt>
                <c:pt idx="205">
                  <c:v>45807</c:v>
                </c:pt>
                <c:pt idx="206">
                  <c:v>45810</c:v>
                </c:pt>
                <c:pt idx="207">
                  <c:v>45811</c:v>
                </c:pt>
                <c:pt idx="208">
                  <c:v>45812</c:v>
                </c:pt>
                <c:pt idx="209">
                  <c:v>45813</c:v>
                </c:pt>
                <c:pt idx="210">
                  <c:v>45814</c:v>
                </c:pt>
                <c:pt idx="211">
                  <c:v>45817</c:v>
                </c:pt>
                <c:pt idx="212">
                  <c:v>45818</c:v>
                </c:pt>
                <c:pt idx="213">
                  <c:v>45819</c:v>
                </c:pt>
                <c:pt idx="214">
                  <c:v>45820</c:v>
                </c:pt>
                <c:pt idx="215">
                  <c:v>45821</c:v>
                </c:pt>
                <c:pt idx="216">
                  <c:v>45824</c:v>
                </c:pt>
                <c:pt idx="217">
                  <c:v>45825</c:v>
                </c:pt>
                <c:pt idx="218">
                  <c:v>45826</c:v>
                </c:pt>
                <c:pt idx="219">
                  <c:v>45827</c:v>
                </c:pt>
                <c:pt idx="220">
                  <c:v>45828</c:v>
                </c:pt>
                <c:pt idx="221">
                  <c:v>45831</c:v>
                </c:pt>
                <c:pt idx="222">
                  <c:v>45832</c:v>
                </c:pt>
                <c:pt idx="223">
                  <c:v>45833</c:v>
                </c:pt>
                <c:pt idx="224">
                  <c:v>45834</c:v>
                </c:pt>
                <c:pt idx="225">
                  <c:v>45835</c:v>
                </c:pt>
                <c:pt idx="226">
                  <c:v>45838</c:v>
                </c:pt>
                <c:pt idx="227">
                  <c:v>45839</c:v>
                </c:pt>
                <c:pt idx="228">
                  <c:v>45840</c:v>
                </c:pt>
                <c:pt idx="229">
                  <c:v>45841</c:v>
                </c:pt>
                <c:pt idx="230">
                  <c:v>45842</c:v>
                </c:pt>
                <c:pt idx="231">
                  <c:v>45845</c:v>
                </c:pt>
                <c:pt idx="232">
                  <c:v>45846</c:v>
                </c:pt>
                <c:pt idx="233">
                  <c:v>45847</c:v>
                </c:pt>
                <c:pt idx="234">
                  <c:v>45848</c:v>
                </c:pt>
                <c:pt idx="235">
                  <c:v>45849</c:v>
                </c:pt>
                <c:pt idx="236">
                  <c:v>45852</c:v>
                </c:pt>
                <c:pt idx="237">
                  <c:v>45853</c:v>
                </c:pt>
                <c:pt idx="238">
                  <c:v>45854</c:v>
                </c:pt>
                <c:pt idx="239">
                  <c:v>45855</c:v>
                </c:pt>
                <c:pt idx="240">
                  <c:v>45856</c:v>
                </c:pt>
                <c:pt idx="241">
                  <c:v>45859</c:v>
                </c:pt>
                <c:pt idx="242">
                  <c:v>45860</c:v>
                </c:pt>
                <c:pt idx="243">
                  <c:v>45861</c:v>
                </c:pt>
                <c:pt idx="244">
                  <c:v>45862</c:v>
                </c:pt>
                <c:pt idx="245">
                  <c:v>45863</c:v>
                </c:pt>
                <c:pt idx="246">
                  <c:v>45866</c:v>
                </c:pt>
                <c:pt idx="247">
                  <c:v>45867</c:v>
                </c:pt>
                <c:pt idx="248">
                  <c:v>45868</c:v>
                </c:pt>
                <c:pt idx="249">
                  <c:v>45869</c:v>
                </c:pt>
                <c:pt idx="250">
                  <c:v>45870</c:v>
                </c:pt>
              </c:numCache>
            </c:numRef>
          </c:cat>
          <c:val>
            <c:numRef>
              <c:f>'Beta Calculation'!$C$4:$C$254</c:f>
              <c:numCache>
                <c:formatCode>General</c:formatCode>
                <c:ptCount val="251"/>
                <c:pt idx="0">
                  <c:v>642.95000000000005</c:v>
                </c:pt>
                <c:pt idx="1">
                  <c:v>627.29999999999995</c:v>
                </c:pt>
                <c:pt idx="2">
                  <c:v>634.04999999999995</c:v>
                </c:pt>
                <c:pt idx="3">
                  <c:v>629.1</c:v>
                </c:pt>
                <c:pt idx="4">
                  <c:v>639.4</c:v>
                </c:pt>
                <c:pt idx="5">
                  <c:v>637.25</c:v>
                </c:pt>
                <c:pt idx="6">
                  <c:v>624.04999999999995</c:v>
                </c:pt>
                <c:pt idx="7">
                  <c:v>620.29999999999995</c:v>
                </c:pt>
                <c:pt idx="8">
                  <c:v>606.15</c:v>
                </c:pt>
                <c:pt idx="9">
                  <c:v>604.25</c:v>
                </c:pt>
                <c:pt idx="10">
                  <c:v>617.35</c:v>
                </c:pt>
                <c:pt idx="11">
                  <c:v>621.20000000000005</c:v>
                </c:pt>
                <c:pt idx="12">
                  <c:v>623.1</c:v>
                </c:pt>
                <c:pt idx="13">
                  <c:v>634.5</c:v>
                </c:pt>
                <c:pt idx="14">
                  <c:v>645.75</c:v>
                </c:pt>
                <c:pt idx="15">
                  <c:v>643.35</c:v>
                </c:pt>
                <c:pt idx="16">
                  <c:v>654.54999999999995</c:v>
                </c:pt>
                <c:pt idx="17">
                  <c:v>643.25</c:v>
                </c:pt>
                <c:pt idx="18">
                  <c:v>644.15</c:v>
                </c:pt>
                <c:pt idx="19">
                  <c:v>643.9</c:v>
                </c:pt>
                <c:pt idx="20">
                  <c:v>637.29999999999995</c:v>
                </c:pt>
                <c:pt idx="21">
                  <c:v>636.65</c:v>
                </c:pt>
                <c:pt idx="22">
                  <c:v>638.35</c:v>
                </c:pt>
                <c:pt idx="23">
                  <c:v>650.15</c:v>
                </c:pt>
                <c:pt idx="24">
                  <c:v>644.54999999999995</c:v>
                </c:pt>
                <c:pt idx="25">
                  <c:v>644.6</c:v>
                </c:pt>
                <c:pt idx="26">
                  <c:v>661.95</c:v>
                </c:pt>
                <c:pt idx="27">
                  <c:v>664.7</c:v>
                </c:pt>
                <c:pt idx="28">
                  <c:v>663.9</c:v>
                </c:pt>
                <c:pt idx="29">
                  <c:v>664.6</c:v>
                </c:pt>
                <c:pt idx="30">
                  <c:v>660.7</c:v>
                </c:pt>
                <c:pt idx="31">
                  <c:v>661.2</c:v>
                </c:pt>
                <c:pt idx="32">
                  <c:v>660.4</c:v>
                </c:pt>
                <c:pt idx="33">
                  <c:v>654.20000000000005</c:v>
                </c:pt>
                <c:pt idx="34">
                  <c:v>664.75</c:v>
                </c:pt>
                <c:pt idx="35">
                  <c:v>667.8</c:v>
                </c:pt>
                <c:pt idx="36">
                  <c:v>661</c:v>
                </c:pt>
                <c:pt idx="37">
                  <c:v>655.75</c:v>
                </c:pt>
                <c:pt idx="38">
                  <c:v>627.1</c:v>
                </c:pt>
                <c:pt idx="39">
                  <c:v>625.70000000000005</c:v>
                </c:pt>
                <c:pt idx="40">
                  <c:v>633.04999999999995</c:v>
                </c:pt>
                <c:pt idx="41">
                  <c:v>625.35</c:v>
                </c:pt>
                <c:pt idx="42">
                  <c:v>618.9</c:v>
                </c:pt>
                <c:pt idx="43">
                  <c:v>580.6</c:v>
                </c:pt>
                <c:pt idx="44">
                  <c:v>572.15</c:v>
                </c:pt>
                <c:pt idx="45">
                  <c:v>569.35</c:v>
                </c:pt>
                <c:pt idx="46">
                  <c:v>567.15</c:v>
                </c:pt>
                <c:pt idx="47">
                  <c:v>564.79999999999995</c:v>
                </c:pt>
                <c:pt idx="48">
                  <c:v>571.9</c:v>
                </c:pt>
                <c:pt idx="49">
                  <c:v>570.79999999999995</c:v>
                </c:pt>
                <c:pt idx="50">
                  <c:v>567.29999999999995</c:v>
                </c:pt>
                <c:pt idx="51">
                  <c:v>570.95000000000005</c:v>
                </c:pt>
                <c:pt idx="52">
                  <c:v>578.15</c:v>
                </c:pt>
                <c:pt idx="53">
                  <c:v>572.70000000000005</c:v>
                </c:pt>
                <c:pt idx="54">
                  <c:v>571.29999999999995</c:v>
                </c:pt>
                <c:pt idx="55">
                  <c:v>567.79999999999995</c:v>
                </c:pt>
                <c:pt idx="56">
                  <c:v>558.9</c:v>
                </c:pt>
                <c:pt idx="57">
                  <c:v>558.45000000000005</c:v>
                </c:pt>
                <c:pt idx="58">
                  <c:v>541.25</c:v>
                </c:pt>
                <c:pt idx="59">
                  <c:v>538.5</c:v>
                </c:pt>
                <c:pt idx="60">
                  <c:v>553.85</c:v>
                </c:pt>
                <c:pt idx="61">
                  <c:v>535.85</c:v>
                </c:pt>
                <c:pt idx="62">
                  <c:v>546.95000000000005</c:v>
                </c:pt>
                <c:pt idx="63">
                  <c:v>539.95000000000005</c:v>
                </c:pt>
                <c:pt idx="64">
                  <c:v>543.1</c:v>
                </c:pt>
                <c:pt idx="65">
                  <c:v>534.95000000000005</c:v>
                </c:pt>
                <c:pt idx="66">
                  <c:v>534.70000000000005</c:v>
                </c:pt>
                <c:pt idx="67">
                  <c:v>539.54999999999995</c:v>
                </c:pt>
                <c:pt idx="68">
                  <c:v>534.29999999999995</c:v>
                </c:pt>
                <c:pt idx="69">
                  <c:v>531.6</c:v>
                </c:pt>
                <c:pt idx="70">
                  <c:v>522.95000000000005</c:v>
                </c:pt>
                <c:pt idx="71">
                  <c:v>511.05</c:v>
                </c:pt>
                <c:pt idx="72">
                  <c:v>510.75</c:v>
                </c:pt>
                <c:pt idx="73">
                  <c:v>507.45</c:v>
                </c:pt>
                <c:pt idx="74">
                  <c:v>508.2</c:v>
                </c:pt>
                <c:pt idx="75">
                  <c:v>508.25</c:v>
                </c:pt>
                <c:pt idx="76">
                  <c:v>505.8</c:v>
                </c:pt>
                <c:pt idx="77">
                  <c:v>512.9</c:v>
                </c:pt>
                <c:pt idx="78">
                  <c:v>521.65</c:v>
                </c:pt>
                <c:pt idx="79">
                  <c:v>525.25</c:v>
                </c:pt>
                <c:pt idx="80">
                  <c:v>527.4</c:v>
                </c:pt>
                <c:pt idx="81">
                  <c:v>526.04999999999995</c:v>
                </c:pt>
                <c:pt idx="82">
                  <c:v>527.04999999999995</c:v>
                </c:pt>
                <c:pt idx="83">
                  <c:v>524.5</c:v>
                </c:pt>
                <c:pt idx="84">
                  <c:v>522.79999999999995</c:v>
                </c:pt>
                <c:pt idx="85">
                  <c:v>522.35</c:v>
                </c:pt>
                <c:pt idx="86">
                  <c:v>521.9</c:v>
                </c:pt>
                <c:pt idx="87">
                  <c:v>523.54999999999995</c:v>
                </c:pt>
                <c:pt idx="88">
                  <c:v>506.95</c:v>
                </c:pt>
                <c:pt idx="89">
                  <c:v>507.1</c:v>
                </c:pt>
                <c:pt idx="90">
                  <c:v>508.9</c:v>
                </c:pt>
                <c:pt idx="91">
                  <c:v>506.9</c:v>
                </c:pt>
                <c:pt idx="92">
                  <c:v>512.6</c:v>
                </c:pt>
                <c:pt idx="93">
                  <c:v>510.1</c:v>
                </c:pt>
                <c:pt idx="94">
                  <c:v>505.95</c:v>
                </c:pt>
                <c:pt idx="95">
                  <c:v>505.4</c:v>
                </c:pt>
                <c:pt idx="96">
                  <c:v>504</c:v>
                </c:pt>
                <c:pt idx="97">
                  <c:v>501.9</c:v>
                </c:pt>
                <c:pt idx="98">
                  <c:v>510.1</c:v>
                </c:pt>
                <c:pt idx="99">
                  <c:v>509.9</c:v>
                </c:pt>
                <c:pt idx="100">
                  <c:v>505.75</c:v>
                </c:pt>
                <c:pt idx="101">
                  <c:v>507.35</c:v>
                </c:pt>
                <c:pt idx="102">
                  <c:v>506</c:v>
                </c:pt>
                <c:pt idx="103">
                  <c:v>506.85</c:v>
                </c:pt>
                <c:pt idx="104">
                  <c:v>511</c:v>
                </c:pt>
                <c:pt idx="105">
                  <c:v>513.29999999999995</c:v>
                </c:pt>
                <c:pt idx="106">
                  <c:v>525.04999999999995</c:v>
                </c:pt>
                <c:pt idx="107">
                  <c:v>504.8</c:v>
                </c:pt>
                <c:pt idx="108">
                  <c:v>509.15</c:v>
                </c:pt>
                <c:pt idx="109">
                  <c:v>513.70000000000005</c:v>
                </c:pt>
                <c:pt idx="110">
                  <c:v>521.04999999999995</c:v>
                </c:pt>
                <c:pt idx="111">
                  <c:v>517.79999999999995</c:v>
                </c:pt>
                <c:pt idx="112">
                  <c:v>510.8</c:v>
                </c:pt>
                <c:pt idx="113">
                  <c:v>512.95000000000005</c:v>
                </c:pt>
                <c:pt idx="114">
                  <c:v>514.70000000000005</c:v>
                </c:pt>
                <c:pt idx="115">
                  <c:v>522.45000000000005</c:v>
                </c:pt>
                <c:pt idx="116">
                  <c:v>525.95000000000005</c:v>
                </c:pt>
                <c:pt idx="117">
                  <c:v>521.29999999999995</c:v>
                </c:pt>
                <c:pt idx="118">
                  <c:v>521.15</c:v>
                </c:pt>
                <c:pt idx="119">
                  <c:v>520.79999999999995</c:v>
                </c:pt>
                <c:pt idx="120">
                  <c:v>524.15</c:v>
                </c:pt>
                <c:pt idx="121">
                  <c:v>521.9</c:v>
                </c:pt>
                <c:pt idx="122">
                  <c:v>523.29999999999995</c:v>
                </c:pt>
                <c:pt idx="123">
                  <c:v>524.25</c:v>
                </c:pt>
                <c:pt idx="124">
                  <c:v>518.15</c:v>
                </c:pt>
                <c:pt idx="125">
                  <c:v>533.70000000000005</c:v>
                </c:pt>
                <c:pt idx="126">
                  <c:v>529.4</c:v>
                </c:pt>
                <c:pt idx="127">
                  <c:v>538</c:v>
                </c:pt>
                <c:pt idx="128">
                  <c:v>534.4</c:v>
                </c:pt>
                <c:pt idx="129">
                  <c:v>541.25</c:v>
                </c:pt>
                <c:pt idx="130">
                  <c:v>531.45000000000005</c:v>
                </c:pt>
                <c:pt idx="131">
                  <c:v>526.20000000000005</c:v>
                </c:pt>
                <c:pt idx="132">
                  <c:v>527.25</c:v>
                </c:pt>
                <c:pt idx="133">
                  <c:v>528.35</c:v>
                </c:pt>
                <c:pt idx="134">
                  <c:v>517.54999999999995</c:v>
                </c:pt>
                <c:pt idx="135">
                  <c:v>525.5</c:v>
                </c:pt>
                <c:pt idx="136">
                  <c:v>519.9</c:v>
                </c:pt>
                <c:pt idx="137">
                  <c:v>519.79999999999995</c:v>
                </c:pt>
                <c:pt idx="138">
                  <c:v>520.70000000000005</c:v>
                </c:pt>
                <c:pt idx="139">
                  <c:v>515</c:v>
                </c:pt>
                <c:pt idx="140">
                  <c:v>504.55</c:v>
                </c:pt>
                <c:pt idx="141">
                  <c:v>510.25</c:v>
                </c:pt>
                <c:pt idx="142">
                  <c:v>508.35</c:v>
                </c:pt>
                <c:pt idx="143">
                  <c:v>505.55</c:v>
                </c:pt>
                <c:pt idx="144">
                  <c:v>510.15</c:v>
                </c:pt>
                <c:pt idx="145">
                  <c:v>503.65</c:v>
                </c:pt>
                <c:pt idx="146">
                  <c:v>494.15</c:v>
                </c:pt>
                <c:pt idx="147">
                  <c:v>491.35</c:v>
                </c:pt>
                <c:pt idx="148">
                  <c:v>483.35</c:v>
                </c:pt>
                <c:pt idx="149">
                  <c:v>488.1</c:v>
                </c:pt>
                <c:pt idx="150">
                  <c:v>495.05</c:v>
                </c:pt>
                <c:pt idx="151">
                  <c:v>495.5</c:v>
                </c:pt>
                <c:pt idx="152">
                  <c:v>493.25</c:v>
                </c:pt>
                <c:pt idx="153">
                  <c:v>497.6</c:v>
                </c:pt>
                <c:pt idx="154">
                  <c:v>499.85</c:v>
                </c:pt>
                <c:pt idx="155">
                  <c:v>500.95</c:v>
                </c:pt>
                <c:pt idx="156">
                  <c:v>494.85</c:v>
                </c:pt>
                <c:pt idx="157">
                  <c:v>499.1</c:v>
                </c:pt>
                <c:pt idx="158">
                  <c:v>495.1</c:v>
                </c:pt>
                <c:pt idx="159">
                  <c:v>499.2</c:v>
                </c:pt>
                <c:pt idx="160">
                  <c:v>507.05</c:v>
                </c:pt>
                <c:pt idx="161">
                  <c:v>507.05</c:v>
                </c:pt>
                <c:pt idx="162">
                  <c:v>509.05</c:v>
                </c:pt>
                <c:pt idx="163">
                  <c:v>509</c:v>
                </c:pt>
                <c:pt idx="164">
                  <c:v>512.65</c:v>
                </c:pt>
                <c:pt idx="165">
                  <c:v>506.55</c:v>
                </c:pt>
                <c:pt idx="166">
                  <c:v>497.6</c:v>
                </c:pt>
                <c:pt idx="167">
                  <c:v>495.5</c:v>
                </c:pt>
                <c:pt idx="168">
                  <c:v>465.6</c:v>
                </c:pt>
                <c:pt idx="169">
                  <c:v>461.75</c:v>
                </c:pt>
                <c:pt idx="170">
                  <c:v>451.45</c:v>
                </c:pt>
                <c:pt idx="171">
                  <c:v>459.35</c:v>
                </c:pt>
                <c:pt idx="172">
                  <c:v>465.6</c:v>
                </c:pt>
                <c:pt idx="173">
                  <c:v>461.3</c:v>
                </c:pt>
                <c:pt idx="174">
                  <c:v>473.55</c:v>
                </c:pt>
                <c:pt idx="175">
                  <c:v>481.3</c:v>
                </c:pt>
                <c:pt idx="176">
                  <c:v>479.2</c:v>
                </c:pt>
                <c:pt idx="177">
                  <c:v>475.5</c:v>
                </c:pt>
                <c:pt idx="178">
                  <c:v>484.55</c:v>
                </c:pt>
                <c:pt idx="179">
                  <c:v>486</c:v>
                </c:pt>
                <c:pt idx="180">
                  <c:v>491.4</c:v>
                </c:pt>
                <c:pt idx="181">
                  <c:v>484.15</c:v>
                </c:pt>
                <c:pt idx="182">
                  <c:v>482.15</c:v>
                </c:pt>
                <c:pt idx="183">
                  <c:v>483.7</c:v>
                </c:pt>
                <c:pt idx="184">
                  <c:v>487.45</c:v>
                </c:pt>
                <c:pt idx="185">
                  <c:v>480.4</c:v>
                </c:pt>
                <c:pt idx="186">
                  <c:v>481.85</c:v>
                </c:pt>
                <c:pt idx="187">
                  <c:v>480.6</c:v>
                </c:pt>
                <c:pt idx="188">
                  <c:v>482.6</c:v>
                </c:pt>
                <c:pt idx="189">
                  <c:v>469.25</c:v>
                </c:pt>
                <c:pt idx="190">
                  <c:v>462.85</c:v>
                </c:pt>
                <c:pt idx="191">
                  <c:v>475.3</c:v>
                </c:pt>
                <c:pt idx="192">
                  <c:v>473.35</c:v>
                </c:pt>
                <c:pt idx="193">
                  <c:v>469.1</c:v>
                </c:pt>
                <c:pt idx="194">
                  <c:v>468.85</c:v>
                </c:pt>
                <c:pt idx="195">
                  <c:v>476.4</c:v>
                </c:pt>
                <c:pt idx="196">
                  <c:v>483.7</c:v>
                </c:pt>
                <c:pt idx="197">
                  <c:v>475.8</c:v>
                </c:pt>
                <c:pt idx="198">
                  <c:v>481.85</c:v>
                </c:pt>
                <c:pt idx="199">
                  <c:v>477.1</c:v>
                </c:pt>
                <c:pt idx="200">
                  <c:v>481.8</c:v>
                </c:pt>
                <c:pt idx="201">
                  <c:v>481.1</c:v>
                </c:pt>
                <c:pt idx="202">
                  <c:v>484.55</c:v>
                </c:pt>
                <c:pt idx="203">
                  <c:v>484.7</c:v>
                </c:pt>
                <c:pt idx="204">
                  <c:v>482.1</c:v>
                </c:pt>
                <c:pt idx="205">
                  <c:v>484.15</c:v>
                </c:pt>
                <c:pt idx="206">
                  <c:v>484.45</c:v>
                </c:pt>
                <c:pt idx="207">
                  <c:v>485.5</c:v>
                </c:pt>
                <c:pt idx="208">
                  <c:v>492.35</c:v>
                </c:pt>
                <c:pt idx="209">
                  <c:v>488.25</c:v>
                </c:pt>
                <c:pt idx="210">
                  <c:v>481.25</c:v>
                </c:pt>
                <c:pt idx="211">
                  <c:v>485.5</c:v>
                </c:pt>
                <c:pt idx="212">
                  <c:v>489.4</c:v>
                </c:pt>
                <c:pt idx="213">
                  <c:v>487.4</c:v>
                </c:pt>
                <c:pt idx="214">
                  <c:v>472.85</c:v>
                </c:pt>
                <c:pt idx="215">
                  <c:v>466.65</c:v>
                </c:pt>
                <c:pt idx="216">
                  <c:v>471.7</c:v>
                </c:pt>
                <c:pt idx="217">
                  <c:v>472</c:v>
                </c:pt>
                <c:pt idx="218">
                  <c:v>469.7</c:v>
                </c:pt>
                <c:pt idx="219">
                  <c:v>465.15</c:v>
                </c:pt>
                <c:pt idx="220">
                  <c:v>466.7</c:v>
                </c:pt>
                <c:pt idx="221">
                  <c:v>467.65</c:v>
                </c:pt>
                <c:pt idx="222">
                  <c:v>475.15</c:v>
                </c:pt>
                <c:pt idx="223">
                  <c:v>480.1</c:v>
                </c:pt>
                <c:pt idx="224">
                  <c:v>481.75</c:v>
                </c:pt>
                <c:pt idx="225">
                  <c:v>485.9</c:v>
                </c:pt>
                <c:pt idx="226">
                  <c:v>485.1</c:v>
                </c:pt>
                <c:pt idx="227">
                  <c:v>482.4</c:v>
                </c:pt>
                <c:pt idx="228">
                  <c:v>487.45</c:v>
                </c:pt>
                <c:pt idx="229">
                  <c:v>491.45</c:v>
                </c:pt>
                <c:pt idx="230">
                  <c:v>495.25</c:v>
                </c:pt>
                <c:pt idx="231">
                  <c:v>512.75</c:v>
                </c:pt>
                <c:pt idx="232">
                  <c:v>512.9</c:v>
                </c:pt>
                <c:pt idx="233">
                  <c:v>522.15</c:v>
                </c:pt>
                <c:pt idx="234">
                  <c:v>522.35</c:v>
                </c:pt>
                <c:pt idx="235">
                  <c:v>531.45000000000005</c:v>
                </c:pt>
                <c:pt idx="236">
                  <c:v>526.1</c:v>
                </c:pt>
                <c:pt idx="237">
                  <c:v>527</c:v>
                </c:pt>
                <c:pt idx="238">
                  <c:v>527.9</c:v>
                </c:pt>
                <c:pt idx="239">
                  <c:v>528.35</c:v>
                </c:pt>
                <c:pt idx="240">
                  <c:v>522.70000000000005</c:v>
                </c:pt>
                <c:pt idx="241">
                  <c:v>514.6</c:v>
                </c:pt>
                <c:pt idx="242">
                  <c:v>515.25</c:v>
                </c:pt>
                <c:pt idx="243">
                  <c:v>513.85</c:v>
                </c:pt>
                <c:pt idx="244">
                  <c:v>512.65</c:v>
                </c:pt>
                <c:pt idx="245">
                  <c:v>511.25</c:v>
                </c:pt>
                <c:pt idx="246">
                  <c:v>522.04999999999995</c:v>
                </c:pt>
                <c:pt idx="247">
                  <c:v>517.85</c:v>
                </c:pt>
                <c:pt idx="248">
                  <c:v>521.95000000000005</c:v>
                </c:pt>
                <c:pt idx="249">
                  <c:v>529.1</c:v>
                </c:pt>
                <c:pt idx="250">
                  <c:v>533.85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6A-414A-82B2-DDF16B33E6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6613280"/>
        <c:axId val="273595024"/>
      </c:lineChart>
      <c:dateAx>
        <c:axId val="1206613280"/>
        <c:scaling>
          <c:orientation val="minMax"/>
        </c:scaling>
        <c:delete val="0"/>
        <c:axPos val="b"/>
        <c:numFmt formatCode="d\-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3595024"/>
        <c:crosses val="autoZero"/>
        <c:auto val="1"/>
        <c:lblOffset val="100"/>
        <c:baseTimeUnit val="days"/>
      </c:dateAx>
      <c:valAx>
        <c:axId val="273595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66132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3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2.png"/><Relationship Id="rId1" Type="http://schemas.openxmlformats.org/officeDocument/2006/relationships/chart" Target="../charts/chart1.xml"/><Relationship Id="rId4" Type="http://schemas.openxmlformats.org/officeDocument/2006/relationships/chart" Target="../charts/chart3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36</xdr:row>
      <xdr:rowOff>381001</xdr:rowOff>
    </xdr:from>
    <xdr:to>
      <xdr:col>19</xdr:col>
      <xdr:colOff>254000</xdr:colOff>
      <xdr:row>50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6FC2F50-09F5-7241-BA82-511697CF6D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542175</xdr:colOff>
      <xdr:row>4</xdr:row>
      <xdr:rowOff>141568</xdr:rowOff>
    </xdr:from>
    <xdr:to>
      <xdr:col>5</xdr:col>
      <xdr:colOff>127763</xdr:colOff>
      <xdr:row>10</xdr:row>
      <xdr:rowOff>272144</xdr:rowOff>
    </xdr:to>
    <xdr:pic>
      <xdr:nvPicPr>
        <xdr:cNvPr id="4" name="Picture 3" descr="Dabur - Wikipedia">
          <a:extLst>
            <a:ext uri="{FF2B5EF4-FFF2-40B4-BE49-F238E27FC236}">
              <a16:creationId xmlns:a16="http://schemas.microsoft.com/office/drawing/2014/main" id="{E138EBE2-588D-4D4F-ADA1-DFF81E4AD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38127" y="2167520"/>
          <a:ext cx="2911779" cy="26705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0</xdr:colOff>
      <xdr:row>28</xdr:row>
      <xdr:rowOff>81938</xdr:rowOff>
    </xdr:from>
    <xdr:to>
      <xdr:col>19</xdr:col>
      <xdr:colOff>20484</xdr:colOff>
      <xdr:row>37</xdr:row>
      <xdr:rowOff>20485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D19B0CD-468A-6443-8238-22D6DA03BB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0</xdr:colOff>
      <xdr:row>15</xdr:row>
      <xdr:rowOff>0</xdr:rowOff>
    </xdr:from>
    <xdr:to>
      <xdr:col>18</xdr:col>
      <xdr:colOff>1638710</xdr:colOff>
      <xdr:row>25</xdr:row>
      <xdr:rowOff>20484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3AF9E2F-41E4-7749-8F6A-BBB0A33D4E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1397000</xdr:colOff>
      <xdr:row>1</xdr:row>
      <xdr:rowOff>190203</xdr:rowOff>
    </xdr:from>
    <xdr:to>
      <xdr:col>19</xdr:col>
      <xdr:colOff>367119</xdr:colOff>
      <xdr:row>6</xdr:row>
      <xdr:rowOff>272423</xdr:rowOff>
    </xdr:to>
    <xdr:pic>
      <xdr:nvPicPr>
        <xdr:cNvPr id="2" name="Picture 1" descr="Dabur - Wikipedia">
          <a:extLst>
            <a:ext uri="{FF2B5EF4-FFF2-40B4-BE49-F238E27FC236}">
              <a16:creationId xmlns:a16="http://schemas.microsoft.com/office/drawing/2014/main" id="{83142833-2391-A94D-A9D6-FF84339CD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65800" y="545803"/>
          <a:ext cx="2526119" cy="2114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88603</xdr:rowOff>
    </xdr:from>
    <xdr:to>
      <xdr:col>17</xdr:col>
      <xdr:colOff>354419</xdr:colOff>
      <xdr:row>6</xdr:row>
      <xdr:rowOff>323224</xdr:rowOff>
    </xdr:to>
    <xdr:pic>
      <xdr:nvPicPr>
        <xdr:cNvPr id="2" name="Picture 1" descr="Dabur - Wikipedia">
          <a:extLst>
            <a:ext uri="{FF2B5EF4-FFF2-40B4-BE49-F238E27FC236}">
              <a16:creationId xmlns:a16="http://schemas.microsoft.com/office/drawing/2014/main" id="{52739AB0-CE5E-8ECE-6CDA-2369CF3FA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46279" y="88603"/>
          <a:ext cx="2540000" cy="23315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1754515</xdr:colOff>
      <xdr:row>1</xdr:row>
      <xdr:rowOff>61951</xdr:rowOff>
    </xdr:from>
    <xdr:to>
      <xdr:col>18</xdr:col>
      <xdr:colOff>230699</xdr:colOff>
      <xdr:row>6</xdr:row>
      <xdr:rowOff>209554</xdr:rowOff>
    </xdr:to>
    <xdr:pic>
      <xdr:nvPicPr>
        <xdr:cNvPr id="2" name="Picture 1" descr="Dabur - Wikipedia">
          <a:extLst>
            <a:ext uri="{FF2B5EF4-FFF2-40B4-BE49-F238E27FC236}">
              <a16:creationId xmlns:a16="http://schemas.microsoft.com/office/drawing/2014/main" id="{DB74BC24-6D26-A34F-B385-5D7C29823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58417" y="61951"/>
          <a:ext cx="2317160" cy="20990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1397000</xdr:colOff>
      <xdr:row>1</xdr:row>
      <xdr:rowOff>190203</xdr:rowOff>
    </xdr:from>
    <xdr:to>
      <xdr:col>18</xdr:col>
      <xdr:colOff>1905987</xdr:colOff>
      <xdr:row>6</xdr:row>
      <xdr:rowOff>298881</xdr:rowOff>
    </xdr:to>
    <xdr:pic>
      <xdr:nvPicPr>
        <xdr:cNvPr id="2" name="Picture 1" descr="Dabur - Wikipedia">
          <a:extLst>
            <a:ext uri="{FF2B5EF4-FFF2-40B4-BE49-F238E27FC236}">
              <a16:creationId xmlns:a16="http://schemas.microsoft.com/office/drawing/2014/main" id="{B83E45B5-5DFB-E44F-82EC-D1216682B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49900" y="533103"/>
          <a:ext cx="2500719" cy="2050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377567</xdr:colOff>
      <xdr:row>1</xdr:row>
      <xdr:rowOff>88603</xdr:rowOff>
    </xdr:from>
    <xdr:to>
      <xdr:col>17</xdr:col>
      <xdr:colOff>370787</xdr:colOff>
      <xdr:row>6</xdr:row>
      <xdr:rowOff>323224</xdr:rowOff>
    </xdr:to>
    <xdr:pic>
      <xdr:nvPicPr>
        <xdr:cNvPr id="2" name="Picture 1" descr="Dabur - Wikipedia">
          <a:extLst>
            <a:ext uri="{FF2B5EF4-FFF2-40B4-BE49-F238E27FC236}">
              <a16:creationId xmlns:a16="http://schemas.microsoft.com/office/drawing/2014/main" id="{E19B2C34-218C-DD46-B045-1E288B85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285675" y="431846"/>
          <a:ext cx="2498896" cy="22940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1754515</xdr:colOff>
      <xdr:row>1</xdr:row>
      <xdr:rowOff>61951</xdr:rowOff>
    </xdr:from>
    <xdr:to>
      <xdr:col>18</xdr:col>
      <xdr:colOff>142954</xdr:colOff>
      <xdr:row>6</xdr:row>
      <xdr:rowOff>209554</xdr:rowOff>
    </xdr:to>
    <xdr:pic>
      <xdr:nvPicPr>
        <xdr:cNvPr id="2" name="Picture 1" descr="Dabur - Wikipedia">
          <a:extLst>
            <a:ext uri="{FF2B5EF4-FFF2-40B4-BE49-F238E27FC236}">
              <a16:creationId xmlns:a16="http://schemas.microsoft.com/office/drawing/2014/main" id="{2247F908-35DC-9B43-91EF-8FCD4EB9B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59915" y="404851"/>
          <a:ext cx="2311584" cy="21161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254001</xdr:colOff>
      <xdr:row>0</xdr:row>
      <xdr:rowOff>0</xdr:rowOff>
    </xdr:from>
    <xdr:to>
      <xdr:col>13</xdr:col>
      <xdr:colOff>76201</xdr:colOff>
      <xdr:row>1</xdr:row>
      <xdr:rowOff>10245</xdr:rowOff>
    </xdr:to>
    <xdr:pic>
      <xdr:nvPicPr>
        <xdr:cNvPr id="2" name="Picture 1" descr="Dabur - Wikipedia">
          <a:extLst>
            <a:ext uri="{FF2B5EF4-FFF2-40B4-BE49-F238E27FC236}">
              <a16:creationId xmlns:a16="http://schemas.microsoft.com/office/drawing/2014/main" id="{1CF7DC48-E2BE-4D4A-870D-CDE1FF170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36801" y="0"/>
          <a:ext cx="1244600" cy="1153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666750</xdr:colOff>
      <xdr:row>83</xdr:row>
      <xdr:rowOff>146050</xdr:rowOff>
    </xdr:from>
    <xdr:to>
      <xdr:col>8</xdr:col>
      <xdr:colOff>590550</xdr:colOff>
      <xdr:row>97</xdr:row>
      <xdr:rowOff>44450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1C975E1-E7FF-8A04-2E90-1A2C80E46D6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929564</xdr:colOff>
      <xdr:row>18</xdr:row>
      <xdr:rowOff>97933</xdr:rowOff>
    </xdr:from>
    <xdr:to>
      <xdr:col>6</xdr:col>
      <xdr:colOff>1302099</xdr:colOff>
      <xdr:row>33</xdr:row>
      <xdr:rowOff>89467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F925776-E772-21EA-4144-33DF3BDD5C7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1358962</xdr:colOff>
      <xdr:row>18</xdr:row>
      <xdr:rowOff>114866</xdr:rowOff>
    </xdr:from>
    <xdr:to>
      <xdr:col>13</xdr:col>
      <xdr:colOff>189299</xdr:colOff>
      <xdr:row>33</xdr:row>
      <xdr:rowOff>123334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B36FACD-832F-1A1B-A851-0BDE2AEBDE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120736</xdr:colOff>
      <xdr:row>1</xdr:row>
      <xdr:rowOff>450646</xdr:rowOff>
    </xdr:from>
    <xdr:to>
      <xdr:col>12</xdr:col>
      <xdr:colOff>1371600</xdr:colOff>
      <xdr:row>15</xdr:row>
      <xdr:rowOff>326082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4B3061F-31B9-AD9F-8348-6C2E8EE53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220134</xdr:colOff>
      <xdr:row>233</xdr:row>
      <xdr:rowOff>152398</xdr:rowOff>
    </xdr:from>
    <xdr:to>
      <xdr:col>15</xdr:col>
      <xdr:colOff>237067</xdr:colOff>
      <xdr:row>246</xdr:row>
      <xdr:rowOff>321732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B7652A6-BD16-8254-9E8D-EB49B34D04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devmac/Downloads/Sun%20Pharma.Inds%20Modal.xlsx" TargetMode="External"/><Relationship Id="rId1" Type="http://schemas.openxmlformats.org/officeDocument/2006/relationships/externalLinkPath" Target="Sun%20Pharma.Inds%20Mod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ge 1"/>
      <sheetName val="Page 2"/>
      <sheetName val="Page 3"/>
      <sheetName val="FOR -Balance sheet"/>
      <sheetName val="Page 4"/>
      <sheetName val="Page 5"/>
      <sheetName val="INCOME"/>
      <sheetName val="Cash flow"/>
      <sheetName val="FCFF"/>
      <sheetName val="WACC"/>
      <sheetName val="Cost of equity"/>
      <sheetName val="Sheet5"/>
      <sheetName val="Beta"/>
      <sheetName val="Waste"/>
      <sheetName val="Sheet9"/>
      <sheetName val="Sheet1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89">
          <cell r="B89" t="str">
            <v>Promoters </v>
          </cell>
          <cell r="C89">
            <v>0.54479999999999995</v>
          </cell>
        </row>
        <row r="90">
          <cell r="B90" t="str">
            <v>FIIs </v>
          </cell>
          <cell r="C90">
            <v>0.1726</v>
          </cell>
        </row>
        <row r="91">
          <cell r="B91" t="str">
            <v>DIIs </v>
          </cell>
          <cell r="C91">
            <v>0.1938</v>
          </cell>
        </row>
        <row r="92">
          <cell r="B92" t="str">
            <v>Government </v>
          </cell>
          <cell r="C92">
            <v>1.1000000000000001E-3</v>
          </cell>
        </row>
        <row r="93">
          <cell r="B93" t="str">
            <v>Public </v>
          </cell>
          <cell r="C93">
            <v>8.7599999999999997E-2</v>
          </cell>
        </row>
      </sheetData>
      <sheetData sheetId="15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;" TargetMode="Externa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;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2C96A-9878-6741-B287-26E85C59B8A9}">
  <sheetPr codeName="Sheet17">
    <tabColor rgb="FFFFFF00"/>
    <pageSetUpPr fitToPage="1"/>
  </sheetPr>
  <dimension ref="A1:S115"/>
  <sheetViews>
    <sheetView topLeftCell="A4" zoomScale="37" zoomScaleNormal="43" workbookViewId="0">
      <selection activeCell="Y25" sqref="Y25"/>
    </sheetView>
  </sheetViews>
  <sheetFormatPr baseColWidth="10" defaultRowHeight="16"/>
  <cols>
    <col min="1" max="2" width="10.83203125" style="4"/>
    <col min="3" max="8" width="21.6640625" style="4" customWidth="1"/>
    <col min="9" max="9" width="27.1640625" style="4" customWidth="1"/>
    <col min="10" max="10" width="26" style="4" customWidth="1"/>
    <col min="11" max="11" width="28.33203125" style="4" customWidth="1"/>
    <col min="12" max="12" width="27.1640625" style="4" bestFit="1" customWidth="1"/>
    <col min="13" max="13" width="13.33203125" style="4" customWidth="1"/>
    <col min="14" max="14" width="14.5" style="4" customWidth="1"/>
    <col min="15" max="18" width="21.6640625" style="4" customWidth="1"/>
    <col min="19" max="19" width="24" style="4" bestFit="1" customWidth="1"/>
    <col min="20" max="16384" width="10.83203125" style="4"/>
  </cols>
  <sheetData>
    <row r="1" spans="1:19" ht="33">
      <c r="A1" s="623"/>
      <c r="B1" s="623"/>
      <c r="C1" s="623"/>
      <c r="D1" s="623"/>
      <c r="E1" s="623"/>
      <c r="F1" s="623"/>
      <c r="G1" s="623"/>
      <c r="H1" s="623"/>
      <c r="I1" s="623"/>
      <c r="J1" s="623"/>
      <c r="K1" s="623"/>
      <c r="L1" s="623"/>
      <c r="M1" s="623"/>
      <c r="N1" s="623"/>
      <c r="O1" s="623"/>
      <c r="P1" s="623"/>
      <c r="Q1" s="623"/>
      <c r="R1" s="623"/>
      <c r="S1" s="623"/>
    </row>
    <row r="2" spans="1:19" ht="33">
      <c r="A2" s="623"/>
      <c r="B2" s="623"/>
      <c r="C2" s="623"/>
      <c r="D2" s="623"/>
      <c r="E2" s="623"/>
      <c r="F2" s="623"/>
      <c r="G2" s="623"/>
      <c r="H2" s="623"/>
      <c r="I2" s="623"/>
      <c r="J2" s="623"/>
      <c r="K2" s="623"/>
      <c r="L2" s="623"/>
      <c r="M2" s="623"/>
      <c r="N2" s="623"/>
      <c r="O2" s="623"/>
      <c r="P2" s="623"/>
      <c r="Q2" s="623"/>
      <c r="R2" s="623"/>
      <c r="S2" s="623"/>
    </row>
    <row r="3" spans="1:19" ht="34" thickBot="1">
      <c r="A3" s="623"/>
      <c r="B3" s="623"/>
      <c r="C3" s="623"/>
      <c r="D3" s="623"/>
      <c r="E3" s="623"/>
      <c r="F3" s="623"/>
      <c r="G3" s="623"/>
      <c r="H3" s="623"/>
      <c r="I3" s="623"/>
      <c r="J3" s="623"/>
      <c r="K3" s="623"/>
      <c r="L3" s="623"/>
      <c r="M3" s="623"/>
      <c r="N3" s="623"/>
      <c r="O3" s="623"/>
      <c r="P3" s="623"/>
      <c r="Q3" s="623"/>
      <c r="R3" s="623"/>
      <c r="S3" s="623"/>
    </row>
    <row r="4" spans="1:19" ht="51" customHeight="1" thickBot="1">
      <c r="A4" s="623"/>
      <c r="B4" s="623"/>
      <c r="C4" s="697" t="s">
        <v>693</v>
      </c>
      <c r="D4" s="698"/>
      <c r="E4" s="698"/>
      <c r="F4" s="698"/>
      <c r="G4" s="698"/>
      <c r="H4" s="698"/>
      <c r="I4" s="698"/>
      <c r="J4" s="698"/>
      <c r="K4" s="698"/>
      <c r="L4" s="698"/>
      <c r="M4" s="698"/>
      <c r="N4" s="698"/>
      <c r="O4" s="698"/>
      <c r="P4" s="698"/>
      <c r="Q4" s="698"/>
      <c r="R4" s="698"/>
      <c r="S4" s="699"/>
    </row>
    <row r="5" spans="1:19" ht="33" customHeight="1">
      <c r="A5" s="623"/>
      <c r="B5" s="623"/>
      <c r="C5" s="664" t="s">
        <v>651</v>
      </c>
      <c r="D5" s="664"/>
      <c r="E5" s="664"/>
      <c r="F5" s="664"/>
      <c r="G5" s="694" t="s">
        <v>694</v>
      </c>
      <c r="H5" s="694"/>
      <c r="I5" s="694"/>
      <c r="J5" s="694"/>
      <c r="K5" s="694"/>
      <c r="L5" s="694"/>
      <c r="M5" s="694"/>
      <c r="N5" s="694"/>
      <c r="O5" s="694"/>
      <c r="P5" s="694"/>
      <c r="Q5" s="694"/>
      <c r="R5" s="694"/>
      <c r="S5" s="694"/>
    </row>
    <row r="6" spans="1:19" ht="33" customHeight="1">
      <c r="A6" s="623"/>
      <c r="B6" s="623"/>
      <c r="C6" s="664"/>
      <c r="D6" s="664"/>
      <c r="E6" s="664"/>
      <c r="F6" s="664"/>
      <c r="G6" s="695"/>
      <c r="H6" s="695"/>
      <c r="I6" s="695"/>
      <c r="J6" s="695"/>
      <c r="K6" s="695"/>
      <c r="L6" s="695"/>
      <c r="M6" s="695"/>
      <c r="N6" s="695"/>
      <c r="O6" s="695"/>
      <c r="P6" s="695"/>
      <c r="Q6" s="695"/>
      <c r="R6" s="695"/>
      <c r="S6" s="695"/>
    </row>
    <row r="7" spans="1:19" ht="33" customHeight="1">
      <c r="A7" s="623"/>
      <c r="B7" s="623"/>
      <c r="C7" s="664"/>
      <c r="D7" s="664"/>
      <c r="E7" s="664"/>
      <c r="F7" s="664"/>
      <c r="G7" s="695"/>
      <c r="H7" s="695"/>
      <c r="I7" s="695"/>
      <c r="J7" s="695"/>
      <c r="K7" s="695"/>
      <c r="L7" s="695"/>
      <c r="M7" s="695"/>
      <c r="N7" s="695"/>
      <c r="O7" s="695"/>
      <c r="P7" s="695"/>
      <c r="Q7" s="695"/>
      <c r="R7" s="695"/>
      <c r="S7" s="695"/>
    </row>
    <row r="8" spans="1:19" ht="33" customHeight="1">
      <c r="A8" s="623"/>
      <c r="B8" s="623"/>
      <c r="C8" s="664"/>
      <c r="D8" s="664"/>
      <c r="E8" s="664"/>
      <c r="F8" s="664"/>
      <c r="G8" s="695"/>
      <c r="H8" s="695"/>
      <c r="I8" s="695"/>
      <c r="J8" s="695"/>
      <c r="K8" s="695"/>
      <c r="L8" s="695"/>
      <c r="M8" s="695"/>
      <c r="N8" s="695"/>
      <c r="O8" s="695"/>
      <c r="P8" s="695"/>
      <c r="Q8" s="695"/>
      <c r="R8" s="695"/>
      <c r="S8" s="695"/>
    </row>
    <row r="9" spans="1:19" ht="33" customHeight="1">
      <c r="A9" s="623"/>
      <c r="B9" s="623"/>
      <c r="C9" s="664"/>
      <c r="D9" s="664"/>
      <c r="E9" s="664"/>
      <c r="F9" s="664"/>
      <c r="G9" s="695"/>
      <c r="H9" s="695"/>
      <c r="I9" s="695"/>
      <c r="J9" s="695"/>
      <c r="K9" s="695"/>
      <c r="L9" s="695"/>
      <c r="M9" s="695"/>
      <c r="N9" s="695"/>
      <c r="O9" s="695"/>
      <c r="P9" s="695"/>
      <c r="Q9" s="695"/>
      <c r="R9" s="695"/>
      <c r="S9" s="695"/>
    </row>
    <row r="10" spans="1:19" ht="33" customHeight="1">
      <c r="A10" s="623"/>
      <c r="B10" s="623"/>
      <c r="C10" s="664"/>
      <c r="D10" s="664"/>
      <c r="E10" s="664"/>
      <c r="F10" s="664"/>
      <c r="G10" s="695"/>
      <c r="H10" s="695"/>
      <c r="I10" s="695"/>
      <c r="J10" s="695"/>
      <c r="K10" s="695"/>
      <c r="L10" s="695"/>
      <c r="M10" s="695"/>
      <c r="N10" s="695"/>
      <c r="O10" s="695"/>
      <c r="P10" s="695"/>
      <c r="Q10" s="695"/>
      <c r="R10" s="695"/>
      <c r="S10" s="695"/>
    </row>
    <row r="11" spans="1:19" ht="33" customHeight="1">
      <c r="A11" s="623"/>
      <c r="B11" s="623"/>
      <c r="C11" s="657"/>
      <c r="D11" s="657"/>
      <c r="E11" s="657"/>
      <c r="F11" s="657"/>
      <c r="G11" s="695"/>
      <c r="H11" s="695"/>
      <c r="I11" s="695"/>
      <c r="J11" s="695"/>
      <c r="K11" s="695"/>
      <c r="L11" s="695"/>
      <c r="M11" s="695"/>
      <c r="N11" s="695"/>
      <c r="O11" s="695"/>
      <c r="P11" s="695"/>
      <c r="Q11" s="695"/>
      <c r="R11" s="695"/>
      <c r="S11" s="695"/>
    </row>
    <row r="12" spans="1:19" ht="33" customHeight="1">
      <c r="A12" s="623"/>
      <c r="B12" s="623"/>
      <c r="C12" s="657"/>
      <c r="D12" s="657"/>
      <c r="E12" s="657"/>
      <c r="F12" s="657"/>
      <c r="G12" s="695"/>
      <c r="H12" s="695"/>
      <c r="I12" s="695"/>
      <c r="J12" s="695"/>
      <c r="K12" s="695"/>
      <c r="L12" s="695"/>
      <c r="M12" s="695"/>
      <c r="N12" s="695"/>
      <c r="O12" s="695"/>
      <c r="P12" s="695"/>
      <c r="Q12" s="695"/>
      <c r="R12" s="695"/>
      <c r="S12" s="695"/>
    </row>
    <row r="13" spans="1:19" ht="33">
      <c r="A13" s="623"/>
      <c r="B13" s="623"/>
      <c r="C13" s="625" t="s">
        <v>652</v>
      </c>
      <c r="D13" s="623"/>
      <c r="E13" s="623"/>
      <c r="F13" s="623"/>
      <c r="G13" s="623"/>
      <c r="H13" s="623"/>
      <c r="I13" s="623"/>
      <c r="J13" s="623"/>
      <c r="K13" s="623"/>
      <c r="L13" s="623"/>
      <c r="M13" s="623"/>
      <c r="N13" s="623"/>
      <c r="O13" s="623"/>
      <c r="P13" s="623"/>
      <c r="Q13" s="623"/>
      <c r="R13" s="623"/>
      <c r="S13" s="623"/>
    </row>
    <row r="14" spans="1:19" ht="34">
      <c r="A14" s="623"/>
      <c r="B14" s="623"/>
      <c r="C14" s="658" t="s">
        <v>653</v>
      </c>
      <c r="D14" s="659"/>
      <c r="E14" s="659"/>
      <c r="F14" s="659"/>
      <c r="G14" s="660"/>
      <c r="H14" s="666">
        <v>2021</v>
      </c>
      <c r="I14" s="666">
        <v>2022</v>
      </c>
      <c r="J14" s="666">
        <v>2023</v>
      </c>
      <c r="K14" s="666">
        <v>2024</v>
      </c>
      <c r="L14" s="666">
        <v>2025</v>
      </c>
      <c r="M14" s="623"/>
      <c r="N14" s="623"/>
      <c r="O14" s="693" t="s">
        <v>654</v>
      </c>
      <c r="P14" s="693"/>
      <c r="Q14" s="693"/>
      <c r="R14" s="693"/>
      <c r="S14" s="693"/>
    </row>
    <row r="15" spans="1:19" ht="33">
      <c r="A15" s="623"/>
      <c r="B15" s="623"/>
      <c r="C15" s="626"/>
      <c r="D15" s="627"/>
      <c r="E15" s="628"/>
      <c r="F15" s="628"/>
      <c r="G15" s="627"/>
      <c r="H15" s="627"/>
      <c r="I15" s="629"/>
      <c r="J15" s="630"/>
      <c r="K15" s="630"/>
      <c r="L15" s="630"/>
      <c r="M15" s="623"/>
      <c r="N15" s="623"/>
      <c r="O15" s="623"/>
      <c r="P15" s="623"/>
      <c r="Q15" s="623"/>
      <c r="R15" s="623"/>
      <c r="S15" s="623"/>
    </row>
    <row r="16" spans="1:19" ht="33">
      <c r="A16" s="623"/>
      <c r="B16" s="623"/>
      <c r="C16" s="631" t="s">
        <v>655</v>
      </c>
      <c r="D16" s="631"/>
      <c r="E16" s="631"/>
      <c r="F16" s="631"/>
      <c r="G16" s="631"/>
      <c r="H16" s="665">
        <f>'P &amp; L'!O12</f>
        <v>9561.65</v>
      </c>
      <c r="I16" s="665">
        <f>'P &amp; L'!P12</f>
        <v>10888.68</v>
      </c>
      <c r="J16" s="665">
        <f>'P &amp; L'!Q12</f>
        <v>11529.89</v>
      </c>
      <c r="K16" s="665">
        <f>'P &amp; L'!R12</f>
        <v>12404.01</v>
      </c>
      <c r="L16" s="665">
        <f>'P &amp; L'!S12</f>
        <v>12563.09</v>
      </c>
      <c r="M16" s="623"/>
      <c r="N16" s="623"/>
      <c r="O16" s="623"/>
      <c r="P16" s="623"/>
      <c r="Q16" s="623"/>
      <c r="R16" s="623"/>
      <c r="S16" s="623"/>
    </row>
    <row r="17" spans="1:19" ht="33">
      <c r="A17" s="623"/>
      <c r="B17" s="623"/>
      <c r="C17" s="632" t="s">
        <v>656</v>
      </c>
      <c r="D17" s="633"/>
      <c r="E17" s="633"/>
      <c r="F17" s="633"/>
      <c r="G17" s="633"/>
      <c r="H17" s="634"/>
      <c r="I17" s="670">
        <f>I16/H16-1</f>
        <v>0.13878671568191692</v>
      </c>
      <c r="J17" s="670">
        <f t="shared" ref="J17:L17" si="0">J16/I16-1</f>
        <v>5.8887762336665261E-2</v>
      </c>
      <c r="K17" s="670">
        <f t="shared" si="0"/>
        <v>7.5813385903941821E-2</v>
      </c>
      <c r="L17" s="670">
        <f t="shared" si="0"/>
        <v>1.2824884855784591E-2</v>
      </c>
      <c r="M17" s="623"/>
      <c r="N17" s="623"/>
      <c r="O17" s="623"/>
      <c r="P17" s="623"/>
      <c r="Q17" s="623"/>
      <c r="R17" s="623"/>
      <c r="S17" s="623"/>
    </row>
    <row r="18" spans="1:19" ht="33">
      <c r="A18" s="623"/>
      <c r="B18" s="623"/>
      <c r="C18" s="631" t="s">
        <v>657</v>
      </c>
      <c r="D18" s="631"/>
      <c r="E18" s="631"/>
      <c r="F18" s="631"/>
      <c r="G18" s="631"/>
      <c r="H18" s="667">
        <f>'Fore - P&amp; L'!O17</f>
        <v>0.50229719765939984</v>
      </c>
      <c r="I18" s="667">
        <f>'Fore - P&amp; L'!P17</f>
        <v>0.48205934970997411</v>
      </c>
      <c r="J18" s="667">
        <f>'Fore - P&amp; L'!Q17</f>
        <v>0.4563113785127178</v>
      </c>
      <c r="K18" s="667">
        <f>'Fore - P&amp; L'!R17</f>
        <v>0.4802519507804332</v>
      </c>
      <c r="L18" s="667">
        <f>'Fore - P&amp; L'!S17</f>
        <v>0.48198572166560932</v>
      </c>
      <c r="M18" s="623"/>
      <c r="N18" s="623"/>
      <c r="O18" s="623"/>
      <c r="P18" s="623"/>
      <c r="Q18" s="623"/>
      <c r="R18" s="623"/>
      <c r="S18" s="623"/>
    </row>
    <row r="19" spans="1:19" ht="33">
      <c r="A19" s="623"/>
      <c r="B19" s="623"/>
      <c r="C19" s="631" t="s">
        <v>658</v>
      </c>
      <c r="D19" s="631"/>
      <c r="E19" s="631"/>
      <c r="F19" s="631"/>
      <c r="G19" s="631"/>
      <c r="H19" s="667">
        <f>'Fore - P&amp; L'!O21</f>
        <v>0.21259719818232206</v>
      </c>
      <c r="I19" s="667">
        <f>'Fore - P&amp; L'!P21</f>
        <v>0.20698652178225463</v>
      </c>
      <c r="J19" s="667">
        <f>'Fore - P&amp; L'!Q21</f>
        <v>0.18769650014007069</v>
      </c>
      <c r="K19" s="667">
        <f>'Fore - P&amp; L'!R21</f>
        <v>0.19350435867110727</v>
      </c>
      <c r="L19" s="667">
        <f>'Fore - P&amp; L'!S21</f>
        <v>0.18652576714805033</v>
      </c>
      <c r="M19" s="623"/>
      <c r="N19" s="623"/>
      <c r="O19" s="623"/>
      <c r="P19" s="623"/>
      <c r="Q19" s="623"/>
      <c r="R19" s="623"/>
      <c r="S19" s="623"/>
    </row>
    <row r="20" spans="1:19" ht="33">
      <c r="A20" s="623"/>
      <c r="B20" s="623"/>
      <c r="C20" s="631" t="s">
        <v>659</v>
      </c>
      <c r="D20" s="631"/>
      <c r="E20" s="631"/>
      <c r="F20" s="631"/>
      <c r="G20" s="631"/>
      <c r="H20" s="667">
        <f>'Fore - P&amp; L'!O25</f>
        <v>0.18748333185172011</v>
      </c>
      <c r="I20" s="667">
        <f>'Fore - P&amp; L'!P25</f>
        <v>0.18376148440398657</v>
      </c>
      <c r="J20" s="667">
        <f>'Fore - P&amp; L'!Q25</f>
        <v>0.16072659843242212</v>
      </c>
      <c r="K20" s="667">
        <f>'Fore - P&amp; L'!R25</f>
        <v>0.16132041170556952</v>
      </c>
      <c r="L20" s="667">
        <f>'Fore - P&amp; L'!S25</f>
        <v>0.15105678618874813</v>
      </c>
      <c r="M20" s="623"/>
      <c r="N20" s="623"/>
      <c r="O20" s="623"/>
      <c r="P20" s="623"/>
      <c r="Q20" s="623"/>
      <c r="R20" s="623"/>
      <c r="S20" s="623"/>
    </row>
    <row r="21" spans="1:19" ht="33">
      <c r="A21" s="623"/>
      <c r="B21" s="623"/>
      <c r="C21" s="631" t="s">
        <v>660</v>
      </c>
      <c r="D21" s="631"/>
      <c r="E21" s="631"/>
      <c r="F21" s="631"/>
      <c r="G21" s="631"/>
      <c r="H21" s="667">
        <f>'Fore - P&amp; L'!O38</f>
        <v>0.18041342236957006</v>
      </c>
      <c r="I21" s="667">
        <f>'Fore - P&amp; L'!P38</f>
        <v>0.1600102124408101</v>
      </c>
      <c r="J21" s="667">
        <f>'Fore - P&amp; L'!Q38</f>
        <v>0.14755821608011868</v>
      </c>
      <c r="K21" s="667">
        <f>'Fore - P&amp; L'!R38</f>
        <v>0.14602616411950661</v>
      </c>
      <c r="L21" s="667">
        <f>'Fore - P&amp; L'!S38</f>
        <v>0.1406835420266829</v>
      </c>
      <c r="M21" s="623"/>
      <c r="N21" s="623"/>
      <c r="O21" s="623"/>
      <c r="P21" s="623"/>
      <c r="Q21" s="623"/>
      <c r="R21" s="623"/>
      <c r="S21" s="623"/>
    </row>
    <row r="22" spans="1:19" ht="33">
      <c r="A22" s="623"/>
      <c r="B22" s="623"/>
      <c r="C22" s="631" t="s">
        <v>661</v>
      </c>
      <c r="D22" s="631"/>
      <c r="E22" s="631"/>
      <c r="F22" s="631"/>
      <c r="G22" s="631"/>
      <c r="H22" s="668">
        <f>'Fore - P&amp; L'!O56</f>
        <v>9.58</v>
      </c>
      <c r="I22" s="668">
        <f>'Fore - P&amp; L'!P56</f>
        <v>9.84</v>
      </c>
      <c r="J22" s="668">
        <f>'Fore - P&amp; L'!Q56</f>
        <v>9.64</v>
      </c>
      <c r="K22" s="668">
        <f>'Fore - P&amp; L'!R56</f>
        <v>10.4</v>
      </c>
      <c r="L22" s="668">
        <f>'Fore - P&amp; L'!S56</f>
        <v>9.9700000000000006</v>
      </c>
      <c r="M22" s="623"/>
      <c r="N22" s="623"/>
      <c r="O22" s="623"/>
      <c r="P22" s="623"/>
      <c r="Q22" s="623"/>
      <c r="R22" s="623"/>
      <c r="S22" s="623"/>
    </row>
    <row r="23" spans="1:19" ht="33">
      <c r="A23" s="623"/>
      <c r="B23" s="623"/>
      <c r="C23" s="635" t="s">
        <v>662</v>
      </c>
      <c r="D23" s="635"/>
      <c r="E23" s="635"/>
      <c r="F23" s="635"/>
      <c r="G23" s="635"/>
      <c r="H23" s="636"/>
      <c r="I23" s="669">
        <f>I22/H22-1</f>
        <v>2.7139874739039671E-2</v>
      </c>
      <c r="J23" s="669">
        <f t="shared" ref="J23:L23" si="1">J22/I22-1</f>
        <v>-2.0325203252032464E-2</v>
      </c>
      <c r="K23" s="669">
        <f t="shared" si="1"/>
        <v>7.8838174273858863E-2</v>
      </c>
      <c r="L23" s="669">
        <f t="shared" si="1"/>
        <v>-4.134615384615381E-2</v>
      </c>
      <c r="M23" s="623"/>
      <c r="N23" s="623"/>
      <c r="O23" s="623"/>
      <c r="P23" s="623"/>
      <c r="Q23" s="623"/>
      <c r="R23" s="623"/>
      <c r="S23" s="623"/>
    </row>
    <row r="24" spans="1:19" ht="33">
      <c r="A24" s="623"/>
      <c r="B24" s="623"/>
      <c r="C24" s="631" t="s">
        <v>663</v>
      </c>
      <c r="D24" s="631"/>
      <c r="E24" s="631"/>
      <c r="F24" s="631"/>
      <c r="G24" s="631"/>
      <c r="H24" s="672">
        <f>'P &amp; L'!O57</f>
        <v>4.79</v>
      </c>
      <c r="I24" s="672">
        <f>'P &amp; L'!P57</f>
        <v>5.2152000000000003</v>
      </c>
      <c r="J24" s="672">
        <f>'P &amp; L'!Q57</f>
        <v>5.2056000000000004</v>
      </c>
      <c r="K24" s="672">
        <f>'P &amp; L'!R57</f>
        <v>5.5120000000000005</v>
      </c>
      <c r="L24" s="672">
        <f>'P &amp; L'!S57</f>
        <v>7.9760000000000009</v>
      </c>
      <c r="M24" s="623"/>
      <c r="N24" s="623"/>
      <c r="O24" s="623"/>
      <c r="P24" s="623"/>
      <c r="Q24" s="623"/>
      <c r="R24" s="623"/>
      <c r="S24" s="623"/>
    </row>
    <row r="25" spans="1:19" ht="33">
      <c r="A25" s="623"/>
      <c r="B25" s="623"/>
      <c r="C25" s="635" t="s">
        <v>664</v>
      </c>
      <c r="D25" s="635"/>
      <c r="E25" s="635"/>
      <c r="F25" s="635"/>
      <c r="G25" s="635"/>
      <c r="H25" s="637"/>
      <c r="I25" s="669">
        <f>I24/H24-1</f>
        <v>8.8768267223382047E-2</v>
      </c>
      <c r="J25" s="669">
        <f t="shared" ref="J25" si="2">J24/I24-1</f>
        <v>-1.8407731247123138E-3</v>
      </c>
      <c r="K25" s="669">
        <f t="shared" ref="K25" si="3">K24/J24-1</f>
        <v>5.8859689565083695E-2</v>
      </c>
      <c r="L25" s="669">
        <f t="shared" ref="L25" si="4">L24/K24-1</f>
        <v>0.44702467343976782</v>
      </c>
      <c r="M25" s="623"/>
      <c r="N25" s="623"/>
      <c r="O25" s="623"/>
      <c r="P25" s="623"/>
      <c r="Q25" s="623"/>
      <c r="R25" s="623"/>
      <c r="S25" s="623"/>
    </row>
    <row r="26" spans="1:19" ht="33">
      <c r="A26" s="638"/>
      <c r="B26" s="638"/>
      <c r="C26" s="639"/>
      <c r="D26" s="640"/>
      <c r="E26" s="640"/>
      <c r="F26" s="640"/>
      <c r="G26" s="640"/>
      <c r="H26" s="640"/>
      <c r="I26" s="640"/>
      <c r="J26" s="640"/>
      <c r="K26" s="640"/>
      <c r="L26" s="623"/>
      <c r="M26" s="623"/>
      <c r="N26" s="623"/>
      <c r="O26" s="623"/>
      <c r="P26" s="623"/>
      <c r="Q26" s="623"/>
      <c r="R26" s="623"/>
      <c r="S26" s="623"/>
    </row>
    <row r="27" spans="1:19" ht="33">
      <c r="A27" s="623"/>
      <c r="B27" s="623"/>
      <c r="C27" s="623"/>
      <c r="D27" s="623"/>
      <c r="E27" s="623"/>
      <c r="F27" s="623"/>
      <c r="G27" s="623"/>
      <c r="H27" s="623"/>
      <c r="I27" s="623"/>
      <c r="J27" s="623"/>
      <c r="K27" s="623"/>
      <c r="L27" s="623"/>
      <c r="M27" s="623"/>
      <c r="N27" s="623"/>
      <c r="O27" s="623"/>
      <c r="P27" s="623"/>
      <c r="Q27" s="623"/>
      <c r="R27" s="623"/>
      <c r="S27" s="623"/>
    </row>
    <row r="28" spans="1:19" ht="34">
      <c r="A28" s="623"/>
      <c r="B28" s="623"/>
      <c r="C28" s="658" t="s">
        <v>665</v>
      </c>
      <c r="D28" s="662"/>
      <c r="E28" s="662"/>
      <c r="F28" s="662"/>
      <c r="G28" s="663"/>
      <c r="H28" s="666">
        <v>2021</v>
      </c>
      <c r="I28" s="666">
        <v>2022</v>
      </c>
      <c r="J28" s="666">
        <v>2023</v>
      </c>
      <c r="K28" s="666">
        <v>2024</v>
      </c>
      <c r="L28" s="666">
        <v>2025</v>
      </c>
      <c r="M28" s="623"/>
      <c r="N28" s="623"/>
      <c r="O28" s="693" t="s">
        <v>666</v>
      </c>
      <c r="P28" s="693"/>
      <c r="Q28" s="693"/>
      <c r="R28" s="693"/>
      <c r="S28" s="693"/>
    </row>
    <row r="29" spans="1:19" ht="33">
      <c r="A29" s="641"/>
      <c r="B29" s="623"/>
      <c r="C29" s="642"/>
      <c r="D29" s="624"/>
      <c r="E29" s="624"/>
      <c r="F29" s="624"/>
      <c r="G29" s="624"/>
      <c r="H29" s="624"/>
      <c r="I29" s="624"/>
      <c r="J29" s="624"/>
      <c r="K29" s="624"/>
      <c r="L29" s="624"/>
      <c r="M29" s="623"/>
      <c r="N29" s="623"/>
      <c r="O29" s="623"/>
      <c r="P29" s="623"/>
      <c r="Q29" s="623"/>
      <c r="R29" s="623"/>
      <c r="S29" s="623"/>
    </row>
    <row r="30" spans="1:19" ht="33">
      <c r="A30" s="623"/>
      <c r="B30" s="623"/>
      <c r="C30" s="643" t="s">
        <v>667</v>
      </c>
      <c r="D30" s="644"/>
      <c r="E30" s="644"/>
      <c r="F30" s="644"/>
      <c r="G30" s="644"/>
      <c r="H30" s="686">
        <f>'Work Sheet'!C3/'P &amp; L'!O54</f>
        <v>56.367432150313149</v>
      </c>
      <c r="I30" s="686">
        <f>'Work Sheet'!C4/'P &amp; L'!P54</f>
        <v>54.471544715447152</v>
      </c>
      <c r="J30" s="686">
        <f>'Work Sheet'!C5/'P &amp; L'!Q54</f>
        <v>56.431535269709542</v>
      </c>
      <c r="K30" s="686">
        <f>'Work Sheet'!C6/'P &amp; L'!R54</f>
        <v>50.28846153846154</v>
      </c>
      <c r="L30" s="686">
        <f>'Work Sheet'!C7/'P &amp; L'!S54</f>
        <v>50.752256770310929</v>
      </c>
      <c r="M30" s="638"/>
      <c r="N30" s="638"/>
      <c r="O30" s="638"/>
      <c r="P30" s="638"/>
      <c r="Q30" s="638"/>
      <c r="R30" s="638"/>
      <c r="S30" s="638"/>
    </row>
    <row r="31" spans="1:19" ht="33">
      <c r="A31" s="623"/>
      <c r="B31" s="623"/>
      <c r="C31" s="643" t="s">
        <v>668</v>
      </c>
      <c r="D31" s="643"/>
      <c r="E31" s="643"/>
      <c r="F31" s="643"/>
      <c r="G31" s="643"/>
      <c r="H31" s="686">
        <f>'Work Sheet'!G16/'Fore - P&amp; L'!O20</f>
        <v>47.087402473460003</v>
      </c>
      <c r="I31" s="686">
        <f>'Work Sheet'!H16/'Fore - P&amp; L'!P20</f>
        <v>42.203455482050387</v>
      </c>
      <c r="J31" s="686">
        <f>'Work Sheet'!I16/'Fore - P&amp; L'!Q20</f>
        <v>44.671982145167561</v>
      </c>
      <c r="K31" s="686">
        <f>'Work Sheet'!J16/'Fore - P&amp; L'!R20</f>
        <v>38.727259470967347</v>
      </c>
      <c r="L31" s="686">
        <f>'Work Sheet'!K16/'Fore - P&amp; L'!S20</f>
        <v>38.381937746976547</v>
      </c>
      <c r="M31" s="638"/>
      <c r="N31" s="638"/>
      <c r="O31" s="638"/>
      <c r="P31" s="638"/>
      <c r="Q31" s="638"/>
      <c r="R31" s="638"/>
      <c r="S31" s="638"/>
    </row>
    <row r="32" spans="1:19" ht="33">
      <c r="A32" s="623"/>
      <c r="B32" s="623"/>
      <c r="C32" s="643" t="s">
        <v>669</v>
      </c>
      <c r="D32" s="643"/>
      <c r="E32" s="643"/>
      <c r="F32" s="643"/>
      <c r="G32" s="643"/>
      <c r="H32" s="686">
        <f>'Work Sheet'!G16/'P &amp; L'!O12</f>
        <v>10.010649835540939</v>
      </c>
      <c r="I32" s="686">
        <f>'Work Sheet'!H16/'P &amp; L'!P12</f>
        <v>8.7355464574218367</v>
      </c>
      <c r="J32" s="686">
        <f>'Work Sheet'!I16/'P &amp; L'!Q12</f>
        <v>8.3847747029676789</v>
      </c>
      <c r="K32" s="686">
        <f>'Work Sheet'!J16/'P &amp; L'!R12</f>
        <v>7.4938935070191013</v>
      </c>
      <c r="L32" s="686">
        <f>'Work Sheet'!K16/'P &amp; L'!S12</f>
        <v>7.159220382883511</v>
      </c>
      <c r="M32" s="638"/>
      <c r="N32" s="638"/>
      <c r="O32" s="638"/>
      <c r="P32" s="638"/>
      <c r="Q32" s="638"/>
      <c r="R32" s="638"/>
      <c r="S32" s="638"/>
    </row>
    <row r="33" spans="1:19" ht="33">
      <c r="A33" s="623"/>
      <c r="B33" s="623"/>
      <c r="C33" s="643" t="s">
        <v>670</v>
      </c>
      <c r="D33" s="643"/>
      <c r="E33" s="643"/>
      <c r="F33" s="643"/>
      <c r="G33" s="643"/>
      <c r="H33" s="686">
        <f>'Work Sheet'!G6</f>
        <v>12.394399121064074</v>
      </c>
      <c r="I33" s="686">
        <f>'Work Sheet'!H6</f>
        <v>11.261164708466668</v>
      </c>
      <c r="J33" s="686">
        <f>'Work Sheet'!I6</f>
        <v>10.209978784993373</v>
      </c>
      <c r="K33" s="686">
        <f>'Work Sheet'!J6</f>
        <v>8.9949413185183449</v>
      </c>
      <c r="L33" s="686">
        <f>'Work Sheet'!K6</f>
        <v>7.9983158285356444</v>
      </c>
      <c r="M33" s="638"/>
      <c r="N33" s="638"/>
      <c r="O33" s="638"/>
      <c r="P33" s="638"/>
      <c r="Q33" s="638"/>
      <c r="R33" s="638"/>
      <c r="S33" s="638"/>
    </row>
    <row r="34" spans="1:19" ht="33">
      <c r="A34" s="623"/>
      <c r="B34" s="623"/>
      <c r="C34" s="643" t="s">
        <v>671</v>
      </c>
      <c r="D34" s="643"/>
      <c r="E34" s="643"/>
      <c r="F34" s="643"/>
      <c r="G34" s="643"/>
      <c r="H34" s="687">
        <f>'P &amp; L'!O36/'Balance sheet'!$M$48</f>
        <v>0.22011708756373202</v>
      </c>
      <c r="I34" s="687">
        <f>'P &amp; L'!P36/'Balance sheet'!$M$48</f>
        <v>0.22626626252236942</v>
      </c>
      <c r="J34" s="687">
        <f>'P &amp; L'!Q36/'Balance sheet'!$M$48</f>
        <v>0.22094563531951031</v>
      </c>
      <c r="K34" s="687">
        <f>'P &amp; L'!R36/'Balance sheet'!$M$48</f>
        <v>0.2352283441252328</v>
      </c>
      <c r="L34" s="687">
        <f>'P &amp; L'!S36/'Balance sheet'!$M$48</f>
        <v>0.22602211365389563</v>
      </c>
      <c r="M34" s="638"/>
      <c r="N34" s="638"/>
      <c r="O34" s="638"/>
      <c r="P34" s="638"/>
      <c r="Q34" s="638"/>
      <c r="R34" s="638"/>
      <c r="S34" s="638"/>
    </row>
    <row r="35" spans="1:19" ht="33">
      <c r="A35" s="623"/>
      <c r="B35" s="623"/>
      <c r="C35" s="643" t="s">
        <v>672</v>
      </c>
      <c r="D35" s="643"/>
      <c r="E35" s="643"/>
      <c r="F35" s="643"/>
      <c r="G35" s="643"/>
      <c r="H35" s="687">
        <f>'Fore - P&amp; L'!O24/('Balance sheet'!$M$48+'Balance sheet'!$M$57)</f>
        <v>0.22654664385171627</v>
      </c>
      <c r="I35" s="687">
        <f>'Fore - P&amp; L'!P24/('Balance sheet'!$M$48+'Balance sheet'!$M$57)</f>
        <v>0.25286682320351228</v>
      </c>
      <c r="J35" s="687">
        <f>'Fore - P&amp; L'!Q24/('Balance sheet'!$M$48+'Balance sheet'!$M$57)</f>
        <v>0.23419361198239838</v>
      </c>
      <c r="K35" s="687">
        <f>'Fore - P&amp; L'!R24/('Balance sheet'!$M$48+'Balance sheet'!$M$57)</f>
        <v>0.25287946073140977</v>
      </c>
      <c r="L35" s="687">
        <f>'Fore - P&amp; L'!S24/('Balance sheet'!$M$48+'Balance sheet'!$M$57)</f>
        <v>0.23982742191903386</v>
      </c>
      <c r="M35" s="638"/>
      <c r="N35" s="638"/>
      <c r="O35" s="638"/>
      <c r="P35" s="638"/>
      <c r="Q35" s="638"/>
      <c r="R35" s="638"/>
      <c r="S35" s="638"/>
    </row>
    <row r="36" spans="1:19" ht="33">
      <c r="A36" s="623"/>
      <c r="B36" s="623"/>
      <c r="C36" s="645"/>
      <c r="D36" s="645"/>
      <c r="E36" s="645"/>
      <c r="F36" s="645"/>
      <c r="G36" s="645"/>
      <c r="H36" s="646"/>
      <c r="I36" s="646"/>
      <c r="J36" s="646"/>
      <c r="K36" s="646"/>
      <c r="L36" s="646"/>
      <c r="M36" s="638"/>
      <c r="N36" s="638"/>
      <c r="O36" s="638"/>
      <c r="P36" s="638"/>
      <c r="Q36" s="638"/>
      <c r="R36" s="638"/>
      <c r="S36" s="638"/>
    </row>
    <row r="37" spans="1:19" ht="33">
      <c r="A37" s="623"/>
      <c r="B37" s="623"/>
      <c r="C37" s="638"/>
      <c r="D37" s="638"/>
      <c r="E37" s="638"/>
      <c r="F37" s="638"/>
      <c r="G37" s="638"/>
      <c r="H37" s="638"/>
      <c r="I37" s="638"/>
      <c r="J37" s="638"/>
      <c r="K37" s="638"/>
      <c r="L37" s="638"/>
      <c r="M37" s="638"/>
      <c r="N37" s="638"/>
      <c r="O37" s="623"/>
      <c r="P37" s="623"/>
      <c r="Q37" s="623"/>
      <c r="R37" s="623"/>
      <c r="S37" s="623"/>
    </row>
    <row r="38" spans="1:19" ht="34">
      <c r="A38" s="623"/>
      <c r="B38" s="623"/>
      <c r="C38" s="658" t="s">
        <v>673</v>
      </c>
      <c r="D38" s="662"/>
      <c r="E38" s="662"/>
      <c r="F38" s="662"/>
      <c r="G38" s="663"/>
      <c r="H38" s="661" t="s">
        <v>674</v>
      </c>
      <c r="I38" s="661"/>
      <c r="J38" s="661" t="s">
        <v>675</v>
      </c>
      <c r="K38" s="661"/>
      <c r="L38" s="661" t="s">
        <v>676</v>
      </c>
      <c r="M38" s="638"/>
      <c r="N38" s="638"/>
      <c r="O38" s="623"/>
      <c r="P38" s="623"/>
      <c r="Q38" s="623"/>
      <c r="R38" s="623"/>
      <c r="S38" s="623"/>
    </row>
    <row r="39" spans="1:19" ht="33">
      <c r="A39" s="623"/>
      <c r="B39" s="623"/>
      <c r="C39" s="642"/>
      <c r="D39" s="642"/>
      <c r="E39" s="642"/>
      <c r="F39" s="642"/>
      <c r="G39" s="642"/>
      <c r="H39" s="642"/>
      <c r="I39" s="642"/>
      <c r="J39" s="642"/>
      <c r="K39" s="642"/>
      <c r="L39" s="642"/>
      <c r="M39" s="638"/>
      <c r="N39" s="638"/>
      <c r="O39" s="623"/>
      <c r="P39" s="623"/>
      <c r="Q39" s="623"/>
      <c r="R39" s="623"/>
      <c r="S39" s="623"/>
    </row>
    <row r="40" spans="1:19" ht="33">
      <c r="A40" s="623"/>
      <c r="B40" s="623"/>
      <c r="C40" s="643" t="s">
        <v>704</v>
      </c>
      <c r="D40" s="643"/>
      <c r="E40" s="643"/>
      <c r="F40" s="643"/>
      <c r="G40" s="643"/>
      <c r="H40" s="647">
        <v>21.779399999999999</v>
      </c>
      <c r="I40" s="643"/>
      <c r="J40" s="648">
        <v>0.12280000000000001</v>
      </c>
      <c r="K40" s="643"/>
      <c r="L40" s="649">
        <f>H40*515</f>
        <v>11216.391</v>
      </c>
      <c r="M40" s="638"/>
      <c r="N40" s="638"/>
      <c r="O40" s="623"/>
      <c r="P40" s="623"/>
      <c r="Q40" s="623"/>
      <c r="R40" s="623"/>
      <c r="S40" s="623"/>
    </row>
    <row r="41" spans="1:19" ht="33">
      <c r="A41" s="623"/>
      <c r="B41" s="623"/>
      <c r="C41" s="643" t="s">
        <v>706</v>
      </c>
      <c r="D41" s="643"/>
      <c r="E41" s="643"/>
      <c r="F41" s="643"/>
      <c r="G41" s="643"/>
      <c r="H41" s="647">
        <v>20.938379999999999</v>
      </c>
      <c r="I41" s="643"/>
      <c r="J41" s="648">
        <v>0.1179</v>
      </c>
      <c r="K41" s="643"/>
      <c r="L41" s="649">
        <f t="shared" ref="L41:L49" si="5">H41*515</f>
        <v>10783.2657</v>
      </c>
      <c r="M41" s="638"/>
      <c r="N41" s="638"/>
      <c r="O41" s="623"/>
      <c r="P41" s="623"/>
      <c r="Q41" s="623"/>
      <c r="R41" s="623"/>
      <c r="S41" s="623"/>
    </row>
    <row r="42" spans="1:19" ht="33">
      <c r="A42" s="623"/>
      <c r="B42" s="623"/>
      <c r="C42" s="643" t="s">
        <v>708</v>
      </c>
      <c r="D42" s="643"/>
      <c r="E42" s="643"/>
      <c r="F42" s="643"/>
      <c r="G42" s="643"/>
      <c r="H42" s="647">
        <v>19.337997999999999</v>
      </c>
      <c r="I42" s="643"/>
      <c r="J42" s="648">
        <v>0.109</v>
      </c>
      <c r="K42" s="643"/>
      <c r="L42" s="649">
        <f t="shared" si="5"/>
        <v>9959.0689700000003</v>
      </c>
      <c r="M42" s="638"/>
      <c r="N42" s="638"/>
      <c r="O42" s="623"/>
      <c r="P42" s="623"/>
      <c r="Q42" s="623"/>
      <c r="R42" s="623"/>
      <c r="S42" s="623"/>
    </row>
    <row r="43" spans="1:19" ht="33">
      <c r="A43" s="623"/>
      <c r="B43" s="623"/>
      <c r="C43" s="643" t="s">
        <v>710</v>
      </c>
      <c r="D43" s="643"/>
      <c r="E43" s="643"/>
      <c r="F43" s="643"/>
      <c r="G43" s="643"/>
      <c r="H43" s="647">
        <v>18.921199999999999</v>
      </c>
      <c r="I43" s="643"/>
      <c r="J43" s="648">
        <v>0.1067</v>
      </c>
      <c r="K43" s="643"/>
      <c r="L43" s="649">
        <f t="shared" si="5"/>
        <v>9744.4179999999997</v>
      </c>
      <c r="M43" s="638"/>
      <c r="N43" s="638"/>
      <c r="O43" s="623"/>
      <c r="P43" s="623"/>
      <c r="Q43" s="623"/>
      <c r="R43" s="623"/>
      <c r="S43" s="623"/>
    </row>
    <row r="44" spans="1:19" ht="33">
      <c r="A44" s="623"/>
      <c r="B44" s="623"/>
      <c r="C44" s="643" t="s">
        <v>712</v>
      </c>
      <c r="D44" s="643"/>
      <c r="E44" s="643"/>
      <c r="F44" s="643"/>
      <c r="G44" s="643"/>
      <c r="H44" s="647">
        <v>15.895560400000001</v>
      </c>
      <c r="I44" s="643"/>
      <c r="J44" s="648">
        <v>8.9700000000000002E-2</v>
      </c>
      <c r="K44" s="643"/>
      <c r="L44" s="649">
        <f t="shared" si="5"/>
        <v>8186.2136060000003</v>
      </c>
      <c r="M44" s="638"/>
      <c r="N44" s="638"/>
      <c r="O44" s="623"/>
      <c r="P44" s="623"/>
      <c r="Q44" s="623"/>
      <c r="R44" s="623"/>
      <c r="S44" s="623"/>
    </row>
    <row r="45" spans="1:19" ht="33">
      <c r="A45" s="623"/>
      <c r="B45" s="623"/>
      <c r="C45" s="643" t="s">
        <v>714</v>
      </c>
      <c r="D45" s="643"/>
      <c r="E45" s="643"/>
      <c r="F45" s="643"/>
      <c r="G45" s="643"/>
      <c r="H45" s="647">
        <v>10.614750300000001</v>
      </c>
      <c r="I45" s="643"/>
      <c r="J45" s="648">
        <v>5.9799999999999999E-2</v>
      </c>
      <c r="K45" s="643"/>
      <c r="L45" s="649">
        <f t="shared" si="5"/>
        <v>5466.5964045000001</v>
      </c>
      <c r="M45" s="638"/>
      <c r="N45" s="638"/>
      <c r="O45" s="623"/>
      <c r="P45" s="623"/>
      <c r="Q45" s="623"/>
      <c r="R45" s="623"/>
      <c r="S45" s="623"/>
    </row>
    <row r="46" spans="1:19" ht="33">
      <c r="A46" s="623"/>
      <c r="B46" s="623"/>
      <c r="C46" s="643" t="s">
        <v>677</v>
      </c>
      <c r="D46" s="643"/>
      <c r="E46" s="643"/>
      <c r="F46" s="643"/>
      <c r="G46" s="643"/>
      <c r="H46" s="647">
        <v>8.9035650000000004</v>
      </c>
      <c r="I46" s="643"/>
      <c r="J46" s="648">
        <v>5.0200000000000002E-2</v>
      </c>
      <c r="K46" s="643"/>
      <c r="L46" s="649">
        <f t="shared" si="5"/>
        <v>4585.335975</v>
      </c>
      <c r="M46" s="638"/>
      <c r="N46" s="638"/>
      <c r="O46" s="623"/>
      <c r="P46" s="623"/>
      <c r="Q46" s="623"/>
      <c r="R46" s="623"/>
      <c r="S46" s="623"/>
    </row>
    <row r="47" spans="1:19" ht="33">
      <c r="A47" s="623"/>
      <c r="B47" s="623"/>
      <c r="C47" s="643" t="s">
        <v>717</v>
      </c>
      <c r="D47" s="643"/>
      <c r="E47" s="643"/>
      <c r="F47" s="643"/>
      <c r="G47" s="643"/>
      <c r="H47" s="647">
        <v>5.3012986</v>
      </c>
      <c r="I47" s="643"/>
      <c r="J47" s="648">
        <v>2.9899999999999999E-2</v>
      </c>
      <c r="K47" s="643"/>
      <c r="L47" s="649">
        <f t="shared" si="5"/>
        <v>2730.1687790000001</v>
      </c>
      <c r="M47" s="638"/>
      <c r="N47" s="638"/>
      <c r="O47" s="623"/>
      <c r="P47" s="623"/>
      <c r="Q47" s="623"/>
      <c r="R47" s="623"/>
      <c r="S47" s="623"/>
    </row>
    <row r="48" spans="1:19" ht="33">
      <c r="A48" s="623"/>
      <c r="B48" s="623"/>
      <c r="C48" s="643" t="s">
        <v>719</v>
      </c>
      <c r="D48" s="643"/>
      <c r="E48" s="643"/>
      <c r="F48" s="643"/>
      <c r="G48" s="643"/>
      <c r="H48" s="647">
        <v>3.2972399999999999</v>
      </c>
      <c r="I48" s="643"/>
      <c r="J48" s="648">
        <v>1.8599999999999998E-2</v>
      </c>
      <c r="K48" s="643"/>
      <c r="L48" s="649">
        <f t="shared" si="5"/>
        <v>1698.0786000000001</v>
      </c>
      <c r="M48" s="638"/>
      <c r="N48" s="638"/>
      <c r="O48" s="623"/>
      <c r="P48" s="623"/>
      <c r="Q48" s="623"/>
      <c r="R48" s="623"/>
      <c r="S48" s="623"/>
    </row>
    <row r="49" spans="1:19" ht="33">
      <c r="A49" s="623"/>
      <c r="B49" s="623"/>
      <c r="C49" s="643" t="s">
        <v>721</v>
      </c>
      <c r="D49" s="643"/>
      <c r="E49" s="643"/>
      <c r="F49" s="643"/>
      <c r="G49" s="643"/>
      <c r="H49" s="647">
        <v>3.1722028</v>
      </c>
      <c r="I49" s="643"/>
      <c r="J49" s="648">
        <v>1.7899999999999999E-2</v>
      </c>
      <c r="K49" s="643"/>
      <c r="L49" s="649">
        <f t="shared" si="5"/>
        <v>1633.684442</v>
      </c>
      <c r="M49" s="638"/>
      <c r="N49" s="638"/>
      <c r="O49" s="623"/>
      <c r="P49" s="623"/>
      <c r="Q49" s="623"/>
      <c r="R49" s="623"/>
      <c r="S49" s="623"/>
    </row>
    <row r="50" spans="1:19" ht="33">
      <c r="A50" s="623"/>
      <c r="B50" s="623"/>
      <c r="C50" s="650"/>
      <c r="D50" s="650"/>
      <c r="E50" s="650"/>
      <c r="F50" s="650"/>
      <c r="G50" s="650"/>
      <c r="H50" s="650"/>
      <c r="I50" s="650"/>
      <c r="J50" s="650"/>
      <c r="K50" s="650"/>
      <c r="L50" s="650"/>
      <c r="M50" s="623"/>
      <c r="N50" s="623"/>
      <c r="O50" s="623"/>
      <c r="P50" s="623"/>
      <c r="Q50" s="623"/>
      <c r="R50" s="623"/>
      <c r="S50" s="623"/>
    </row>
    <row r="51" spans="1:19" ht="33">
      <c r="A51" s="623"/>
      <c r="B51" s="623"/>
      <c r="C51" s="623"/>
      <c r="D51" s="623"/>
      <c r="E51" s="623"/>
      <c r="F51" s="623"/>
      <c r="G51" s="623"/>
      <c r="H51" s="623"/>
      <c r="I51" s="623"/>
      <c r="J51" s="623"/>
      <c r="K51" s="623"/>
      <c r="L51" s="623"/>
      <c r="M51" s="623"/>
      <c r="N51" s="623"/>
      <c r="O51" s="623"/>
      <c r="P51" s="623"/>
      <c r="Q51" s="623"/>
      <c r="R51" s="623"/>
      <c r="S51" s="623"/>
    </row>
    <row r="52" spans="1:19" ht="34">
      <c r="A52" s="623"/>
      <c r="B52" s="623"/>
      <c r="C52" s="658" t="s">
        <v>678</v>
      </c>
      <c r="D52" s="662"/>
      <c r="E52" s="662"/>
      <c r="F52" s="696" t="s">
        <v>679</v>
      </c>
      <c r="G52" s="696"/>
      <c r="H52" s="661"/>
      <c r="I52" s="658" t="s">
        <v>680</v>
      </c>
      <c r="J52" s="661"/>
      <c r="K52" s="658" t="s">
        <v>681</v>
      </c>
      <c r="L52" s="661"/>
      <c r="M52" s="623"/>
      <c r="N52" s="623"/>
      <c r="O52" s="693" t="s">
        <v>682</v>
      </c>
      <c r="P52" s="693"/>
      <c r="Q52" s="693"/>
      <c r="R52" s="693"/>
      <c r="S52" s="693"/>
    </row>
    <row r="53" spans="1:19" ht="33">
      <c r="A53" s="623"/>
      <c r="B53" s="623"/>
      <c r="C53" s="677"/>
      <c r="D53" s="677"/>
      <c r="E53" s="677"/>
      <c r="F53" s="677"/>
      <c r="G53" s="677"/>
      <c r="H53" s="677"/>
      <c r="I53" s="677"/>
      <c r="J53" s="677"/>
      <c r="K53" s="677"/>
      <c r="L53" s="677"/>
      <c r="M53" s="623"/>
      <c r="N53" s="623"/>
      <c r="O53" s="638"/>
      <c r="P53" s="638"/>
      <c r="Q53" s="638"/>
      <c r="R53" s="638"/>
      <c r="S53" s="638"/>
    </row>
    <row r="54" spans="1:19" ht="33">
      <c r="A54" s="623"/>
      <c r="B54" s="623"/>
      <c r="C54" s="631" t="s">
        <v>726</v>
      </c>
      <c r="D54" s="631"/>
      <c r="E54" s="631"/>
      <c r="F54" s="631" t="s">
        <v>749</v>
      </c>
      <c r="G54" s="631"/>
      <c r="H54" s="678"/>
      <c r="I54" s="679">
        <v>14.43</v>
      </c>
      <c r="J54" s="631"/>
      <c r="K54" s="679" t="s">
        <v>806</v>
      </c>
      <c r="L54" s="631"/>
      <c r="M54" s="623"/>
      <c r="N54" s="623"/>
      <c r="O54" s="638" t="s">
        <v>683</v>
      </c>
      <c r="P54" s="638"/>
      <c r="Q54" s="638"/>
      <c r="R54" s="638"/>
      <c r="S54" s="651">
        <v>515.6</v>
      </c>
    </row>
    <row r="55" spans="1:19" ht="33">
      <c r="A55" s="623"/>
      <c r="B55" s="623"/>
      <c r="C55" s="631" t="s">
        <v>729</v>
      </c>
      <c r="D55" s="631"/>
      <c r="E55" s="631"/>
      <c r="F55" s="631" t="s">
        <v>730</v>
      </c>
      <c r="G55" s="631"/>
      <c r="H55" s="631"/>
      <c r="I55" s="679">
        <v>1.9</v>
      </c>
      <c r="J55" s="631"/>
      <c r="K55" s="679" t="s">
        <v>807</v>
      </c>
      <c r="L55" s="631"/>
      <c r="M55" s="623"/>
      <c r="N55" s="623"/>
      <c r="O55" s="638" t="s">
        <v>684</v>
      </c>
      <c r="P55" s="638"/>
      <c r="Q55" s="638"/>
      <c r="R55" s="638"/>
      <c r="S55" s="652">
        <v>177.26</v>
      </c>
    </row>
    <row r="56" spans="1:19" ht="34" thickBot="1">
      <c r="A56" s="623"/>
      <c r="B56" s="623"/>
      <c r="C56" s="631" t="s">
        <v>732</v>
      </c>
      <c r="D56" s="631"/>
      <c r="E56" s="631"/>
      <c r="F56" s="631" t="s">
        <v>733</v>
      </c>
      <c r="G56" s="631"/>
      <c r="H56" s="631"/>
      <c r="I56" s="679">
        <v>8.08</v>
      </c>
      <c r="J56" s="631"/>
      <c r="K56" s="679" t="s">
        <v>808</v>
      </c>
      <c r="L56" s="631"/>
      <c r="M56" s="623"/>
      <c r="N56" s="623"/>
      <c r="O56" s="653" t="s">
        <v>685</v>
      </c>
      <c r="P56" s="653"/>
      <c r="Q56" s="653"/>
      <c r="R56" s="653"/>
      <c r="S56" s="750">
        <f>S54*S55</f>
        <v>91395.255999999994</v>
      </c>
    </row>
    <row r="57" spans="1:19" ht="33">
      <c r="A57" s="623"/>
      <c r="B57" s="623"/>
      <c r="C57" s="631" t="s">
        <v>735</v>
      </c>
      <c r="D57" s="631"/>
      <c r="E57" s="631"/>
      <c r="F57" s="631" t="s">
        <v>733</v>
      </c>
      <c r="G57" s="631"/>
      <c r="H57" s="631"/>
      <c r="I57" s="679">
        <v>5.92</v>
      </c>
      <c r="J57" s="631"/>
      <c r="K57" s="679" t="s">
        <v>809</v>
      </c>
      <c r="L57" s="631"/>
      <c r="M57" s="623"/>
      <c r="N57" s="623"/>
      <c r="O57" s="638"/>
      <c r="P57" s="638" t="s">
        <v>686</v>
      </c>
      <c r="Q57" s="638" t="s">
        <v>687</v>
      </c>
      <c r="R57" s="638"/>
      <c r="S57" s="638">
        <f>'Balance sheet'!$Q$33</f>
        <v>184.27</v>
      </c>
    </row>
    <row r="58" spans="1:19" ht="33">
      <c r="A58" s="623"/>
      <c r="B58" s="623"/>
      <c r="C58" s="631" t="s">
        <v>737</v>
      </c>
      <c r="D58" s="631"/>
      <c r="E58" s="631"/>
      <c r="F58" s="631" t="s">
        <v>738</v>
      </c>
      <c r="G58" s="631"/>
      <c r="H58" s="631"/>
      <c r="I58" s="679">
        <v>3.17</v>
      </c>
      <c r="J58" s="631"/>
      <c r="K58" s="679" t="s">
        <v>810</v>
      </c>
      <c r="L58" s="631"/>
      <c r="M58" s="623"/>
      <c r="N58" s="623"/>
      <c r="O58" s="638"/>
      <c r="P58" s="638" t="s">
        <v>688</v>
      </c>
      <c r="Q58" s="638" t="s">
        <v>273</v>
      </c>
      <c r="R58" s="638"/>
      <c r="S58" s="638">
        <f>'Balance sheet'!$Q$52+'Balance sheet'!$Q$53+'Balance sheet'!$Q$60+'Balance sheet'!$Q$61</f>
        <v>950.37</v>
      </c>
    </row>
    <row r="59" spans="1:19" ht="33">
      <c r="A59" s="623"/>
      <c r="B59" s="623"/>
      <c r="C59" s="631" t="s">
        <v>740</v>
      </c>
      <c r="D59" s="631"/>
      <c r="E59" s="631"/>
      <c r="F59" s="631" t="s">
        <v>750</v>
      </c>
      <c r="G59" s="631"/>
      <c r="H59" s="631"/>
      <c r="I59" s="679">
        <v>3.35</v>
      </c>
      <c r="J59" s="631"/>
      <c r="K59" s="679" t="s">
        <v>811</v>
      </c>
      <c r="L59" s="631"/>
      <c r="M59" s="623"/>
      <c r="N59" s="623"/>
      <c r="O59" s="638"/>
      <c r="P59" s="638" t="s">
        <v>688</v>
      </c>
      <c r="Q59" s="638" t="s">
        <v>274</v>
      </c>
      <c r="R59" s="638"/>
      <c r="S59" s="638">
        <f>'Balance sheet'!$Q$47</f>
        <v>409.57</v>
      </c>
    </row>
    <row r="60" spans="1:19" ht="34" thickBot="1">
      <c r="A60" s="623"/>
      <c r="B60" s="623"/>
      <c r="C60" s="631" t="s">
        <v>743</v>
      </c>
      <c r="D60" s="631"/>
      <c r="E60" s="631"/>
      <c r="F60" s="631" t="s">
        <v>751</v>
      </c>
      <c r="G60" s="631"/>
      <c r="H60" s="631"/>
      <c r="I60" s="679">
        <v>2.99</v>
      </c>
      <c r="J60" s="631"/>
      <c r="K60" s="679" t="s">
        <v>812</v>
      </c>
      <c r="L60" s="631"/>
      <c r="M60" s="623"/>
      <c r="N60" s="623"/>
      <c r="O60" s="654" t="s">
        <v>689</v>
      </c>
      <c r="P60" s="653"/>
      <c r="Q60" s="653"/>
      <c r="R60" s="653"/>
      <c r="S60" s="750">
        <f>S56+S58+S59-S57</f>
        <v>92570.925999999992</v>
      </c>
    </row>
    <row r="61" spans="1:19" ht="33">
      <c r="A61" s="623"/>
      <c r="B61" s="623"/>
      <c r="C61" s="631" t="s">
        <v>746</v>
      </c>
      <c r="D61" s="631"/>
      <c r="E61" s="631"/>
      <c r="F61" s="631" t="s">
        <v>752</v>
      </c>
      <c r="G61" s="631"/>
      <c r="H61" s="631"/>
      <c r="I61" s="631">
        <v>1.21</v>
      </c>
      <c r="J61" s="631"/>
      <c r="K61" s="679" t="s">
        <v>813</v>
      </c>
      <c r="L61" s="631"/>
      <c r="M61" s="623"/>
      <c r="N61" s="623"/>
      <c r="O61" s="638"/>
      <c r="P61" s="638"/>
      <c r="Q61" s="638"/>
      <c r="R61" s="638"/>
      <c r="S61" s="638"/>
    </row>
    <row r="62" spans="1:19" ht="33">
      <c r="A62" s="623"/>
      <c r="B62" s="623"/>
      <c r="C62" s="639"/>
      <c r="D62" s="639"/>
      <c r="E62" s="639"/>
      <c r="F62" s="639"/>
      <c r="G62" s="639"/>
      <c r="H62" s="639"/>
      <c r="I62" s="639"/>
      <c r="J62" s="639"/>
      <c r="K62" s="639"/>
      <c r="L62" s="639"/>
      <c r="M62" s="623"/>
      <c r="N62" s="623"/>
      <c r="O62" s="623"/>
      <c r="P62" s="623"/>
      <c r="Q62" s="623"/>
      <c r="R62" s="623"/>
      <c r="S62" s="623"/>
    </row>
    <row r="63" spans="1:19" ht="33">
      <c r="A63" s="623"/>
      <c r="B63" s="623"/>
      <c r="C63" s="655" t="s">
        <v>690</v>
      </c>
      <c r="D63" s="656"/>
      <c r="E63" s="638"/>
      <c r="F63" s="638"/>
      <c r="G63" s="638"/>
      <c r="H63" s="638"/>
      <c r="I63" s="638"/>
      <c r="J63" s="638"/>
      <c r="K63" s="638"/>
      <c r="L63" s="638"/>
      <c r="M63" s="623"/>
      <c r="N63" s="623"/>
      <c r="O63" s="623"/>
      <c r="P63" s="623"/>
      <c r="Q63" s="623"/>
      <c r="R63" s="623"/>
      <c r="S63" s="623"/>
    </row>
    <row r="64" spans="1:19" ht="33">
      <c r="A64" s="623"/>
      <c r="B64" s="623"/>
      <c r="C64" s="655" t="s">
        <v>65</v>
      </c>
      <c r="D64" s="655" t="s">
        <v>691</v>
      </c>
      <c r="E64" s="638"/>
      <c r="F64" s="638"/>
      <c r="G64" s="638"/>
      <c r="H64" s="638"/>
      <c r="I64" s="638"/>
      <c r="J64" s="638"/>
      <c r="K64" s="638"/>
      <c r="L64" s="638"/>
      <c r="M64" s="623"/>
      <c r="N64" s="623"/>
      <c r="O64" s="623"/>
      <c r="P64" s="623"/>
      <c r="Q64" s="623"/>
      <c r="R64" s="623"/>
      <c r="S64" s="623"/>
    </row>
    <row r="65" spans="1:19" ht="33">
      <c r="A65" s="623"/>
      <c r="B65" s="623"/>
      <c r="C65" s="638"/>
      <c r="D65" s="638"/>
      <c r="E65" s="638"/>
      <c r="F65" s="638"/>
      <c r="G65" s="638"/>
      <c r="H65" s="638"/>
      <c r="I65" s="638"/>
      <c r="J65" s="638"/>
      <c r="K65" s="638"/>
      <c r="L65" s="638"/>
      <c r="M65" s="623"/>
      <c r="N65" s="623"/>
      <c r="O65" s="623"/>
      <c r="P65" s="623"/>
      <c r="Q65" s="623"/>
      <c r="R65" s="623"/>
      <c r="S65" s="623"/>
    </row>
    <row r="66" spans="1:19" ht="34">
      <c r="A66" s="623"/>
      <c r="B66" s="623"/>
      <c r="C66" s="692" t="s">
        <v>692</v>
      </c>
      <c r="D66" s="692"/>
      <c r="E66" s="692"/>
      <c r="F66" s="692"/>
      <c r="G66" s="692"/>
      <c r="H66" s="692"/>
      <c r="I66" s="692"/>
      <c r="J66" s="692"/>
      <c r="K66" s="692"/>
      <c r="L66" s="692"/>
      <c r="M66" s="692"/>
      <c r="N66" s="692"/>
      <c r="O66" s="692"/>
      <c r="P66" s="692"/>
      <c r="Q66" s="692"/>
      <c r="R66" s="692"/>
      <c r="S66" s="692"/>
    </row>
    <row r="67" spans="1:19" ht="33">
      <c r="A67" s="623"/>
      <c r="B67" s="623"/>
      <c r="C67" s="642"/>
      <c r="D67" s="642"/>
      <c r="E67" s="642"/>
      <c r="F67" s="642"/>
      <c r="G67" s="642"/>
      <c r="H67" s="642"/>
      <c r="I67" s="642"/>
      <c r="J67" s="642"/>
      <c r="K67" s="642"/>
      <c r="L67" s="642"/>
      <c r="M67" s="624"/>
      <c r="N67" s="624"/>
      <c r="O67" s="624"/>
      <c r="P67" s="624"/>
      <c r="Q67" s="624"/>
      <c r="R67" s="624"/>
      <c r="S67" s="624"/>
    </row>
    <row r="68" spans="1:19" ht="33">
      <c r="A68" s="623"/>
      <c r="B68" s="623"/>
      <c r="C68" s="643" t="s">
        <v>753</v>
      </c>
      <c r="D68" s="643"/>
      <c r="E68" s="643"/>
      <c r="F68" s="643"/>
      <c r="G68" s="643"/>
      <c r="H68" s="643"/>
      <c r="I68" s="643"/>
      <c r="J68" s="643"/>
      <c r="K68" s="643"/>
      <c r="L68" s="643"/>
      <c r="M68" s="643"/>
      <c r="N68" s="643"/>
      <c r="O68" s="643"/>
      <c r="P68" s="644"/>
      <c r="Q68" s="644"/>
      <c r="R68" s="644"/>
      <c r="S68" s="644"/>
    </row>
    <row r="69" spans="1:19" ht="33">
      <c r="A69" s="623"/>
      <c r="B69" s="623"/>
      <c r="C69" s="643" t="s">
        <v>754</v>
      </c>
      <c r="D69" s="643"/>
      <c r="E69" s="643"/>
      <c r="F69" s="643"/>
      <c r="G69" s="643"/>
      <c r="H69" s="643"/>
      <c r="I69" s="643"/>
      <c r="J69" s="643"/>
      <c r="K69" s="643"/>
      <c r="L69" s="643"/>
      <c r="M69" s="643"/>
      <c r="N69" s="643"/>
      <c r="O69" s="643"/>
      <c r="P69" s="644"/>
      <c r="Q69" s="644"/>
      <c r="R69" s="644"/>
      <c r="S69" s="644"/>
    </row>
    <row r="70" spans="1:19" ht="33">
      <c r="A70" s="623"/>
      <c r="B70" s="623"/>
      <c r="C70" s="643" t="s">
        <v>755</v>
      </c>
      <c r="D70" s="643"/>
      <c r="E70" s="643"/>
      <c r="F70" s="643"/>
      <c r="G70" s="643"/>
      <c r="H70" s="643"/>
      <c r="I70" s="643"/>
      <c r="J70" s="643"/>
      <c r="K70" s="643"/>
      <c r="L70" s="643"/>
      <c r="M70" s="643"/>
      <c r="N70" s="643"/>
      <c r="O70" s="643"/>
      <c r="P70" s="644"/>
      <c r="Q70" s="644"/>
      <c r="R70" s="644"/>
      <c r="S70" s="644"/>
    </row>
    <row r="71" spans="1:19" ht="33">
      <c r="A71" s="623"/>
      <c r="B71" s="623"/>
      <c r="C71" s="643" t="s">
        <v>756</v>
      </c>
      <c r="D71" s="643"/>
      <c r="E71" s="643"/>
      <c r="F71" s="643"/>
      <c r="G71" s="643"/>
      <c r="H71" s="643"/>
      <c r="I71" s="643"/>
      <c r="J71" s="643"/>
      <c r="K71" s="643"/>
      <c r="L71" s="643"/>
      <c r="M71" s="643"/>
      <c r="N71" s="643"/>
      <c r="O71" s="643"/>
      <c r="P71" s="644"/>
      <c r="Q71" s="644"/>
      <c r="R71" s="644"/>
      <c r="S71" s="644"/>
    </row>
    <row r="72" spans="1:19" ht="33">
      <c r="A72" s="623"/>
      <c r="B72" s="623"/>
      <c r="C72" s="643" t="s">
        <v>757</v>
      </c>
      <c r="D72" s="643"/>
      <c r="E72" s="643"/>
      <c r="F72" s="643"/>
      <c r="G72" s="643"/>
      <c r="H72" s="643"/>
      <c r="I72" s="643"/>
      <c r="J72" s="643"/>
      <c r="K72" s="643"/>
      <c r="L72" s="643"/>
      <c r="M72" s="643"/>
      <c r="N72" s="643"/>
      <c r="O72" s="643"/>
      <c r="P72" s="644"/>
      <c r="Q72" s="644"/>
      <c r="R72" s="644"/>
      <c r="S72" s="644"/>
    </row>
    <row r="73" spans="1:19" ht="33">
      <c r="A73" s="623"/>
      <c r="B73" s="623"/>
      <c r="C73" s="643" t="s">
        <v>758</v>
      </c>
      <c r="D73" s="643"/>
      <c r="E73" s="643"/>
      <c r="F73" s="643"/>
      <c r="G73" s="643"/>
      <c r="H73" s="643"/>
      <c r="I73" s="643"/>
      <c r="J73" s="643"/>
      <c r="K73" s="643"/>
      <c r="L73" s="643"/>
      <c r="M73" s="643"/>
      <c r="N73" s="643"/>
      <c r="O73" s="643"/>
      <c r="P73" s="644"/>
      <c r="Q73" s="644"/>
      <c r="R73" s="644"/>
      <c r="S73" s="644"/>
    </row>
    <row r="74" spans="1:19" ht="33">
      <c r="A74" s="623"/>
      <c r="B74" s="623"/>
      <c r="C74" s="643" t="s">
        <v>759</v>
      </c>
      <c r="D74" s="643"/>
      <c r="E74" s="643"/>
      <c r="F74" s="643"/>
      <c r="G74" s="643"/>
      <c r="H74" s="643"/>
      <c r="I74" s="643"/>
      <c r="J74" s="643"/>
      <c r="K74" s="643"/>
      <c r="L74" s="643"/>
      <c r="M74" s="643"/>
      <c r="N74" s="643"/>
      <c r="O74" s="643"/>
      <c r="P74" s="644"/>
      <c r="Q74" s="644"/>
      <c r="R74" s="644"/>
      <c r="S74" s="644"/>
    </row>
    <row r="75" spans="1:19" ht="33">
      <c r="A75" s="623"/>
      <c r="B75" s="623"/>
      <c r="C75" s="643" t="s">
        <v>760</v>
      </c>
      <c r="D75" s="643"/>
      <c r="E75" s="643"/>
      <c r="F75" s="643"/>
      <c r="G75" s="643"/>
      <c r="H75" s="643"/>
      <c r="I75" s="643"/>
      <c r="J75" s="643"/>
      <c r="K75" s="643"/>
      <c r="L75" s="643"/>
      <c r="M75" s="643"/>
      <c r="N75" s="643"/>
      <c r="O75" s="643"/>
      <c r="P75" s="644"/>
      <c r="Q75" s="644"/>
      <c r="R75" s="644"/>
      <c r="S75" s="644"/>
    </row>
    <row r="76" spans="1:19" ht="33">
      <c r="A76" s="623"/>
      <c r="B76" s="623"/>
      <c r="C76" s="643" t="s">
        <v>755</v>
      </c>
      <c r="D76" s="643"/>
      <c r="E76" s="643"/>
      <c r="F76" s="643"/>
      <c r="G76" s="643"/>
      <c r="H76" s="643"/>
      <c r="I76" s="643"/>
      <c r="J76" s="643"/>
      <c r="K76" s="643"/>
      <c r="L76" s="643"/>
      <c r="M76" s="643"/>
      <c r="N76" s="643"/>
      <c r="O76" s="643"/>
      <c r="P76" s="644"/>
      <c r="Q76" s="644"/>
      <c r="R76" s="644"/>
      <c r="S76" s="644"/>
    </row>
    <row r="77" spans="1:19" ht="33">
      <c r="A77" s="623"/>
      <c r="B77" s="623"/>
      <c r="C77" s="643"/>
      <c r="D77" s="644"/>
      <c r="E77" s="644"/>
      <c r="F77" s="644"/>
      <c r="G77" s="644"/>
      <c r="H77" s="644"/>
      <c r="I77" s="644"/>
      <c r="J77" s="644"/>
      <c r="K77" s="644"/>
      <c r="L77" s="644"/>
      <c r="M77" s="644"/>
      <c r="N77" s="644"/>
      <c r="O77" s="644"/>
      <c r="P77" s="644"/>
      <c r="Q77" s="644"/>
      <c r="R77" s="644"/>
      <c r="S77" s="644"/>
    </row>
    <row r="78" spans="1:19" ht="33">
      <c r="A78" s="623"/>
      <c r="B78" s="623"/>
      <c r="C78" s="650"/>
      <c r="D78" s="650"/>
      <c r="E78" s="650"/>
      <c r="F78" s="650"/>
      <c r="G78" s="650"/>
      <c r="H78" s="650"/>
      <c r="I78" s="650"/>
      <c r="J78" s="650"/>
      <c r="K78" s="650"/>
      <c r="L78" s="650"/>
      <c r="M78" s="650"/>
      <c r="N78" s="650"/>
      <c r="O78" s="650"/>
      <c r="P78" s="650"/>
      <c r="Q78" s="650"/>
      <c r="R78" s="650"/>
      <c r="S78" s="650"/>
    </row>
    <row r="79" spans="1:19" ht="34">
      <c r="C79" s="692" t="s">
        <v>776</v>
      </c>
      <c r="D79" s="692"/>
      <c r="E79" s="692"/>
      <c r="F79" s="692"/>
      <c r="G79" s="692"/>
      <c r="H79" s="692"/>
      <c r="I79" s="692"/>
      <c r="J79" s="692"/>
      <c r="K79" s="692"/>
      <c r="L79" s="692"/>
      <c r="M79" s="692"/>
      <c r="N79" s="692"/>
      <c r="O79" s="692"/>
      <c r="P79" s="692"/>
      <c r="Q79" s="692"/>
      <c r="R79" s="692"/>
      <c r="S79" s="692"/>
    </row>
    <row r="81" spans="3:19" ht="33">
      <c r="C81" s="689" t="s">
        <v>777</v>
      </c>
      <c r="D81" s="2"/>
      <c r="E81" s="2"/>
      <c r="F81" s="2"/>
      <c r="G81" s="2"/>
      <c r="H81" s="2"/>
      <c r="J81" s="2"/>
      <c r="L81" s="2"/>
      <c r="N81" s="1"/>
      <c r="O81" s="1"/>
      <c r="P81" s="1"/>
      <c r="Q81" s="1"/>
      <c r="R81" s="1"/>
      <c r="S81" s="1"/>
    </row>
    <row r="82" spans="3:19" ht="33">
      <c r="C82" s="690" t="s">
        <v>783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3:19" ht="33">
      <c r="C83" s="690" t="s">
        <v>784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3:19" ht="33">
      <c r="C84" s="690" t="s">
        <v>785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3:19" ht="33">
      <c r="C85" s="690" t="s">
        <v>786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3:19" ht="33">
      <c r="C86" s="690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3:19" ht="33">
      <c r="C87" s="689" t="s">
        <v>778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3:19" ht="33">
      <c r="C88" s="690" t="s">
        <v>820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3:19" ht="33">
      <c r="C89" s="690" t="s">
        <v>787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3:19" ht="33">
      <c r="C90" s="690" t="s">
        <v>788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3:19" ht="33">
      <c r="C91" s="690" t="s">
        <v>789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3:19" ht="33">
      <c r="C92" s="690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3:19" ht="33">
      <c r="C93" s="689" t="s">
        <v>779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3:19" ht="33">
      <c r="C94" s="690" t="s">
        <v>790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3:19" ht="33">
      <c r="C95" s="690" t="s">
        <v>791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3:19" ht="33">
      <c r="C96" s="690" t="s">
        <v>792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3:19" ht="33">
      <c r="C97" s="690" t="s">
        <v>793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3:19" ht="33">
      <c r="C98" s="690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3:19" ht="33">
      <c r="C99" s="689" t="s">
        <v>780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3:19" ht="33">
      <c r="C100" s="690" t="s">
        <v>794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3:19" ht="33">
      <c r="C101" s="690" t="s">
        <v>795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3:19" ht="33">
      <c r="C102" s="690" t="s">
        <v>796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3:19" ht="33">
      <c r="C103" s="690" t="s">
        <v>797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3:19" ht="33">
      <c r="C104" s="690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3:19" ht="33">
      <c r="C105" s="689" t="s">
        <v>781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3:19" ht="33">
      <c r="C106" s="690" t="s">
        <v>798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3:19" ht="33">
      <c r="C107" s="690" t="s">
        <v>799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3:19" ht="33">
      <c r="C108" s="690" t="s">
        <v>800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3:19" ht="33">
      <c r="C109" s="690" t="s">
        <v>801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3:19" ht="33">
      <c r="C110" s="690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3:19" ht="33">
      <c r="C111" s="689" t="s">
        <v>782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3:19" ht="33">
      <c r="C112" s="690" t="s">
        <v>802</v>
      </c>
    </row>
    <row r="113" spans="3:3" ht="33">
      <c r="C113" s="690" t="s">
        <v>803</v>
      </c>
    </row>
    <row r="114" spans="3:3" ht="33">
      <c r="C114" s="690" t="s">
        <v>804</v>
      </c>
    </row>
    <row r="115" spans="3:3" ht="33">
      <c r="C115" s="690" t="s">
        <v>805</v>
      </c>
    </row>
  </sheetData>
  <mergeCells count="8">
    <mergeCell ref="C4:S4"/>
    <mergeCell ref="O14:S14"/>
    <mergeCell ref="O28:S28"/>
    <mergeCell ref="C79:S79"/>
    <mergeCell ref="O52:S52"/>
    <mergeCell ref="C66:S66"/>
    <mergeCell ref="G5:S12"/>
    <mergeCell ref="F52:G52"/>
  </mergeCells>
  <pageMargins left="0.7" right="0.7" top="0.75" bottom="0.75" header="0.3" footer="0.3"/>
  <pageSetup paperSize="9" scale="20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248A8-D3AF-5D4B-8FF0-BE006F4C3A39}">
  <sheetPr codeName="Sheet2">
    <tabColor rgb="FFFFFF00"/>
  </sheetPr>
  <dimension ref="A1:S58"/>
  <sheetViews>
    <sheetView zoomScale="38" workbookViewId="0">
      <selection activeCell="E30" sqref="E30"/>
    </sheetView>
  </sheetViews>
  <sheetFormatPr baseColWidth="10" defaultRowHeight="27"/>
  <cols>
    <col min="1" max="14" width="10.83203125" style="3"/>
    <col min="15" max="19" width="23.1640625" style="3" customWidth="1"/>
    <col min="20" max="16384" width="10.83203125" style="3"/>
  </cols>
  <sheetData>
    <row r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>
      <c r="A3" s="1" t="s">
        <v>601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>
      <c r="A4" s="1"/>
      <c r="B4" s="1"/>
      <c r="C4" s="1"/>
      <c r="D4" s="1"/>
      <c r="E4" s="4"/>
      <c r="F4" s="4"/>
      <c r="G4" s="4"/>
      <c r="H4" s="4"/>
      <c r="I4" s="4"/>
      <c r="J4" s="4"/>
      <c r="K4" s="4"/>
      <c r="L4" s="4"/>
      <c r="M4" s="4"/>
      <c r="N4" s="4"/>
      <c r="O4" s="1"/>
      <c r="P4" s="1"/>
      <c r="Q4" s="1"/>
      <c r="R4" s="1"/>
      <c r="S4" s="1"/>
    </row>
    <row r="5" spans="1:19" ht="47">
      <c r="A5" s="1"/>
      <c r="B5" s="537" t="s">
        <v>595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1"/>
      <c r="P5" s="1"/>
      <c r="Q5" s="1"/>
      <c r="R5" s="1"/>
      <c r="S5" s="1"/>
    </row>
    <row r="6" spans="1:19">
      <c r="A6" s="1"/>
      <c r="B6" s="534" t="s">
        <v>650</v>
      </c>
      <c r="C6" s="4"/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/>
    </row>
    <row r="7" spans="1:19">
      <c r="A7" s="1"/>
      <c r="B7" s="533" t="s">
        <v>596</v>
      </c>
      <c r="C7" s="4"/>
      <c r="D7" s="4"/>
      <c r="E7" s="531"/>
      <c r="F7" s="531"/>
      <c r="G7" s="531"/>
      <c r="H7" s="531"/>
      <c r="I7" s="531"/>
      <c r="J7" s="531"/>
      <c r="K7" s="531"/>
      <c r="L7" s="531"/>
      <c r="M7" s="531"/>
      <c r="N7" s="531"/>
      <c r="O7" s="1"/>
      <c r="P7" s="1"/>
      <c r="Q7" s="1"/>
      <c r="R7" s="1"/>
      <c r="S7" s="1"/>
    </row>
    <row r="8" spans="1:19" ht="38" customHeight="1">
      <c r="A8" s="1"/>
      <c r="B8" s="700" t="s">
        <v>594</v>
      </c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0"/>
      <c r="S8" s="700"/>
    </row>
    <row r="9" spans="1:19" ht="29">
      <c r="A9" s="1"/>
      <c r="B9" s="701" t="s">
        <v>588</v>
      </c>
      <c r="C9" s="701"/>
      <c r="D9" s="701"/>
      <c r="E9" s="701"/>
      <c r="F9" s="701"/>
      <c r="G9" s="701"/>
      <c r="H9" s="701"/>
      <c r="I9" s="701"/>
      <c r="J9" s="701"/>
      <c r="K9" s="701"/>
      <c r="L9" s="701"/>
      <c r="M9" s="701"/>
      <c r="N9" s="701"/>
      <c r="O9" s="701"/>
      <c r="P9" s="701"/>
      <c r="Q9" s="701"/>
      <c r="R9" s="701"/>
      <c r="S9" s="701"/>
    </row>
    <row r="10" spans="1:19">
      <c r="A10" s="1"/>
      <c r="B10" s="524" t="s">
        <v>1</v>
      </c>
      <c r="C10" s="524"/>
      <c r="D10" s="524"/>
      <c r="E10" s="524"/>
      <c r="F10" s="524"/>
      <c r="G10" s="524"/>
      <c r="H10" s="524"/>
      <c r="I10" s="524"/>
      <c r="J10" s="524"/>
      <c r="K10" s="524"/>
      <c r="L10" s="524"/>
      <c r="M10" s="524" t="s">
        <v>46</v>
      </c>
      <c r="N10" s="524"/>
      <c r="O10" s="532" t="s">
        <v>589</v>
      </c>
      <c r="P10" s="532" t="s">
        <v>590</v>
      </c>
      <c r="Q10" s="532" t="s">
        <v>591</v>
      </c>
      <c r="R10" s="532" t="s">
        <v>592</v>
      </c>
      <c r="S10" s="532" t="s">
        <v>593</v>
      </c>
    </row>
    <row r="11" spans="1:19" ht="33">
      <c r="B11" s="538" t="s">
        <v>73</v>
      </c>
    </row>
    <row r="12" spans="1:19">
      <c r="B12" s="3" t="s">
        <v>74</v>
      </c>
      <c r="O12" s="525">
        <v>9561.65</v>
      </c>
      <c r="P12" s="525">
        <v>10888.68</v>
      </c>
      <c r="Q12" s="525">
        <v>11529.89</v>
      </c>
      <c r="R12" s="525">
        <v>12404.01</v>
      </c>
      <c r="S12" s="525">
        <f>12563.09</f>
        <v>12563.09</v>
      </c>
    </row>
    <row r="13" spans="1:19">
      <c r="B13" s="3" t="s">
        <v>75</v>
      </c>
      <c r="O13" s="525">
        <v>325.29000000000002</v>
      </c>
      <c r="P13" s="525">
        <v>393.16</v>
      </c>
      <c r="Q13" s="525">
        <v>445.39</v>
      </c>
      <c r="R13" s="525">
        <v>482.41</v>
      </c>
      <c r="S13" s="525">
        <v>550.1</v>
      </c>
    </row>
    <row r="14" spans="1:19" ht="28" thickBot="1">
      <c r="B14" s="539" t="s">
        <v>76</v>
      </c>
      <c r="C14" s="543"/>
      <c r="D14" s="543"/>
      <c r="E14" s="543"/>
      <c r="F14" s="543"/>
      <c r="G14" s="543"/>
      <c r="H14" s="543"/>
      <c r="I14" s="543"/>
      <c r="J14" s="543"/>
      <c r="K14" s="543"/>
      <c r="L14" s="543"/>
      <c r="M14" s="543"/>
      <c r="N14" s="543"/>
      <c r="O14" s="542">
        <f>SUM(O12:O13)</f>
        <v>9886.94</v>
      </c>
      <c r="P14" s="542">
        <f>SUM(P12:P13)</f>
        <v>11281.84</v>
      </c>
      <c r="Q14" s="542">
        <f t="shared" ref="Q14:S14" si="0">SUM(Q12:Q13)</f>
        <v>11975.279999999999</v>
      </c>
      <c r="R14" s="542">
        <f t="shared" si="0"/>
        <v>12886.42</v>
      </c>
      <c r="S14" s="542">
        <f t="shared" si="0"/>
        <v>13113.19</v>
      </c>
    </row>
    <row r="15" spans="1:19" ht="33">
      <c r="B15" s="538" t="s">
        <v>77</v>
      </c>
      <c r="O15" s="525"/>
      <c r="P15" s="525"/>
      <c r="Q15" s="525"/>
      <c r="R15" s="525"/>
      <c r="S15" s="525"/>
    </row>
    <row r="16" spans="1:19">
      <c r="B16" s="3" t="s">
        <v>78</v>
      </c>
      <c r="O16" s="525">
        <v>3998.58</v>
      </c>
      <c r="P16" s="525">
        <v>4766.12</v>
      </c>
      <c r="Q16" s="525">
        <v>5306.97</v>
      </c>
      <c r="R16" s="525">
        <v>5186.8999999999996</v>
      </c>
      <c r="S16" s="525">
        <v>5236.68</v>
      </c>
    </row>
    <row r="17" spans="2:19">
      <c r="B17" s="3" t="s">
        <v>580</v>
      </c>
      <c r="O17" s="525">
        <v>15.05</v>
      </c>
      <c r="P17" s="525"/>
      <c r="Q17" s="525"/>
      <c r="R17" s="525"/>
      <c r="S17" s="525"/>
    </row>
    <row r="18" spans="2:19">
      <c r="B18" s="3" t="s">
        <v>79</v>
      </c>
      <c r="O18" s="525">
        <v>982.53</v>
      </c>
      <c r="P18" s="525">
        <v>882.12</v>
      </c>
      <c r="Q18" s="525">
        <v>1052.49</v>
      </c>
      <c r="R18" s="525">
        <v>1211.1099999999999</v>
      </c>
      <c r="S18" s="525">
        <v>1328.28</v>
      </c>
    </row>
    <row r="19" spans="2:19">
      <c r="B19" s="3" t="s">
        <v>80</v>
      </c>
      <c r="O19" s="525">
        <v>-207.2</v>
      </c>
      <c r="P19" s="525">
        <v>-8.5500000000000007</v>
      </c>
      <c r="Q19" s="525">
        <v>-90.79</v>
      </c>
      <c r="R19" s="525">
        <v>48.95</v>
      </c>
      <c r="S19" s="525">
        <v>-57.1</v>
      </c>
    </row>
    <row r="20" spans="2:19">
      <c r="B20" s="3" t="s">
        <v>81</v>
      </c>
      <c r="O20" s="525">
        <v>1033.46</v>
      </c>
      <c r="P20" s="525">
        <v>1079.95</v>
      </c>
      <c r="Q20" s="525">
        <v>1137</v>
      </c>
      <c r="R20" s="525">
        <v>1239.56</v>
      </c>
      <c r="S20" s="525">
        <v>1291.23</v>
      </c>
    </row>
    <row r="21" spans="2:19">
      <c r="B21" s="3" t="s">
        <v>82</v>
      </c>
      <c r="O21" s="525">
        <v>30.81</v>
      </c>
      <c r="P21" s="525">
        <v>38.6</v>
      </c>
      <c r="Q21" s="525">
        <v>78.239999999999995</v>
      </c>
      <c r="R21" s="525">
        <v>124.18</v>
      </c>
      <c r="S21" s="525">
        <v>163.5</v>
      </c>
    </row>
    <row r="22" spans="2:19">
      <c r="B22" s="3" t="s">
        <v>579</v>
      </c>
      <c r="O22" s="525">
        <v>240.13</v>
      </c>
      <c r="P22" s="525">
        <v>252.89</v>
      </c>
      <c r="Q22" s="525">
        <v>310.95999999999998</v>
      </c>
      <c r="R22" s="525">
        <v>399.21</v>
      </c>
      <c r="S22" s="525">
        <v>445.6</v>
      </c>
    </row>
    <row r="23" spans="2:19">
      <c r="B23" s="3" t="s">
        <v>83</v>
      </c>
      <c r="O23" s="525"/>
      <c r="P23" s="525"/>
      <c r="Q23" s="525"/>
      <c r="R23" s="525"/>
      <c r="S23" s="525"/>
    </row>
    <row r="24" spans="2:19">
      <c r="C24" s="3" t="s">
        <v>84</v>
      </c>
      <c r="O24" s="525">
        <v>784.36</v>
      </c>
      <c r="P24" s="525">
        <v>777.94</v>
      </c>
      <c r="Q24" s="525">
        <v>640.27</v>
      </c>
      <c r="R24" s="525">
        <v>849.06</v>
      </c>
      <c r="S24" s="525">
        <v>864.64</v>
      </c>
    </row>
    <row r="25" spans="2:19">
      <c r="C25" s="3" t="s">
        <v>85</v>
      </c>
      <c r="O25" s="525">
        <v>952.19</v>
      </c>
      <c r="P25" s="525">
        <v>1137.29</v>
      </c>
      <c r="Q25" s="525">
        <v>1319.83</v>
      </c>
      <c r="R25" s="525">
        <v>1468.2</v>
      </c>
      <c r="S25" s="525">
        <v>1556.02</v>
      </c>
    </row>
    <row r="26" spans="2:19" ht="28" thickBot="1">
      <c r="B26" s="539" t="s">
        <v>86</v>
      </c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543"/>
      <c r="O26" s="542">
        <f>SUM(O16:O25)</f>
        <v>7829.91</v>
      </c>
      <c r="P26" s="542">
        <f>SUM(P16:P25)</f>
        <v>8926.36</v>
      </c>
      <c r="Q26" s="542">
        <f>SUM(Q16:Q25)</f>
        <v>9754.9699999999993</v>
      </c>
      <c r="R26" s="542">
        <v>10527.17</v>
      </c>
      <c r="S26" s="542">
        <v>10855.85</v>
      </c>
    </row>
    <row r="27" spans="2:19">
      <c r="B27" s="2" t="s">
        <v>87</v>
      </c>
      <c r="O27" s="526">
        <f>O14-O26</f>
        <v>2057.0300000000007</v>
      </c>
      <c r="P27" s="526">
        <f>P14-P26</f>
        <v>2355.4799999999996</v>
      </c>
      <c r="Q27" s="526">
        <f>Q14-Q26</f>
        <v>2220.3099999999995</v>
      </c>
      <c r="R27" s="526">
        <v>2359.25</v>
      </c>
      <c r="S27" s="526">
        <v>2257.34</v>
      </c>
    </row>
    <row r="28" spans="2:19">
      <c r="B28" s="3" t="s">
        <v>88</v>
      </c>
      <c r="O28" s="525">
        <v>-1.01</v>
      </c>
      <c r="P28" s="525">
        <v>-1.8</v>
      </c>
      <c r="Q28" s="525">
        <v>-1.63</v>
      </c>
      <c r="R28" s="525">
        <v>-0.51</v>
      </c>
      <c r="S28" s="525">
        <v>0.55000000000000004</v>
      </c>
    </row>
    <row r="29" spans="2:19" ht="28" thickBot="1">
      <c r="B29" s="539" t="s">
        <v>89</v>
      </c>
      <c r="C29" s="543"/>
      <c r="D29" s="543"/>
      <c r="E29" s="543"/>
      <c r="F29" s="543"/>
      <c r="G29" s="543"/>
      <c r="H29" s="543"/>
      <c r="I29" s="543"/>
      <c r="J29" s="543"/>
      <c r="K29" s="543"/>
      <c r="L29" s="543"/>
      <c r="M29" s="543"/>
      <c r="N29" s="543"/>
      <c r="O29" s="542">
        <f>SUM(O27:O28)</f>
        <v>2056.0200000000004</v>
      </c>
      <c r="P29" s="542">
        <f>SUM(P27:P28)</f>
        <v>2353.6799999999994</v>
      </c>
      <c r="Q29" s="542">
        <f>SUM(Q27:Q28)</f>
        <v>2218.6799999999994</v>
      </c>
      <c r="R29" s="542">
        <f t="shared" ref="R29:S29" si="1">SUM(R27:R28)</f>
        <v>2358.7399999999998</v>
      </c>
      <c r="S29" s="542">
        <f t="shared" si="1"/>
        <v>2257.8900000000003</v>
      </c>
    </row>
    <row r="30" spans="2:19">
      <c r="B30" s="3" t="s">
        <v>90</v>
      </c>
      <c r="O30" s="525"/>
      <c r="P30" s="525">
        <v>-85</v>
      </c>
      <c r="Q30" s="525"/>
      <c r="R30" s="525"/>
      <c r="S30" s="525"/>
    </row>
    <row r="31" spans="2:19" ht="28" thickBot="1">
      <c r="B31" s="539" t="s">
        <v>91</v>
      </c>
      <c r="C31" s="543"/>
      <c r="D31" s="543"/>
      <c r="E31" s="543"/>
      <c r="F31" s="543"/>
      <c r="G31" s="543"/>
      <c r="H31" s="543"/>
      <c r="I31" s="543"/>
      <c r="J31" s="543"/>
      <c r="K31" s="543"/>
      <c r="L31" s="543"/>
      <c r="M31" s="543"/>
      <c r="N31" s="543"/>
      <c r="O31" s="542">
        <f>SUM(O29:O30)</f>
        <v>2056.0200000000004</v>
      </c>
      <c r="P31" s="542">
        <f>SUM(P29:P30)</f>
        <v>2268.6799999999994</v>
      </c>
      <c r="Q31" s="542">
        <f>SUM(Q29:Q30)</f>
        <v>2218.6799999999994</v>
      </c>
      <c r="R31" s="542">
        <f t="shared" ref="R31:S31" si="2">SUM(R29:R30)</f>
        <v>2358.7399999999998</v>
      </c>
      <c r="S31" s="542">
        <f t="shared" si="2"/>
        <v>2257.8900000000003</v>
      </c>
    </row>
    <row r="32" spans="2:19">
      <c r="B32" s="2" t="s">
        <v>92</v>
      </c>
      <c r="O32" s="525"/>
      <c r="P32" s="525"/>
      <c r="Q32" s="525"/>
      <c r="R32" s="525"/>
      <c r="S32" s="525"/>
    </row>
    <row r="33" spans="2:19">
      <c r="B33" s="3" t="s">
        <v>94</v>
      </c>
      <c r="O33" s="525">
        <v>363.04</v>
      </c>
      <c r="P33" s="525">
        <v>442.17</v>
      </c>
      <c r="Q33" s="525">
        <v>481.63</v>
      </c>
      <c r="R33" s="525">
        <v>539.53</v>
      </c>
      <c r="S33" s="525">
        <v>499.06</v>
      </c>
    </row>
    <row r="34" spans="2:19">
      <c r="B34" s="3" t="s">
        <v>93</v>
      </c>
      <c r="O34" s="525">
        <v>-1.97</v>
      </c>
      <c r="P34" s="525">
        <v>84.21</v>
      </c>
      <c r="Q34" s="525">
        <v>35.72</v>
      </c>
      <c r="R34" s="525">
        <v>7.9</v>
      </c>
      <c r="S34" s="525">
        <v>18.41</v>
      </c>
    </row>
    <row r="35" spans="2:19">
      <c r="B35" s="2" t="s">
        <v>95</v>
      </c>
      <c r="O35" s="526">
        <f>SUM(O33:O34)</f>
        <v>361.07</v>
      </c>
      <c r="P35" s="526">
        <f>SUM(P33:P34)</f>
        <v>526.38</v>
      </c>
      <c r="Q35" s="526">
        <f>SUM(Q33:Q34)</f>
        <v>517.35</v>
      </c>
      <c r="R35" s="526">
        <v>547.42999999999995</v>
      </c>
      <c r="S35" s="526">
        <v>517.47</v>
      </c>
    </row>
    <row r="36" spans="2:19" ht="28" thickBot="1">
      <c r="B36" s="539" t="s">
        <v>96</v>
      </c>
      <c r="C36" s="543"/>
      <c r="D36" s="543"/>
      <c r="E36" s="543"/>
      <c r="F36" s="543"/>
      <c r="G36" s="543"/>
      <c r="H36" s="543"/>
      <c r="I36" s="543"/>
      <c r="J36" s="543"/>
      <c r="K36" s="543"/>
      <c r="L36" s="543"/>
      <c r="M36" s="543"/>
      <c r="N36" s="543"/>
      <c r="O36" s="542">
        <f>O31-O35</f>
        <v>1694.9500000000005</v>
      </c>
      <c r="P36" s="542">
        <f>P31-P35</f>
        <v>1742.2999999999993</v>
      </c>
      <c r="Q36" s="542">
        <f>Q31-Q35</f>
        <v>1701.3299999999995</v>
      </c>
      <c r="R36" s="542">
        <v>1811.31</v>
      </c>
      <c r="S36" s="542">
        <v>1740.42</v>
      </c>
    </row>
    <row r="37" spans="2:19">
      <c r="B37" s="2" t="s">
        <v>97</v>
      </c>
      <c r="O37" s="525"/>
      <c r="P37" s="525"/>
      <c r="Q37" s="525"/>
      <c r="R37" s="525"/>
      <c r="S37" s="525"/>
    </row>
    <row r="38" spans="2:19">
      <c r="B38" s="3" t="s">
        <v>98</v>
      </c>
      <c r="C38" s="3" t="s">
        <v>65</v>
      </c>
      <c r="D38" s="3" t="s">
        <v>103</v>
      </c>
      <c r="O38" s="525">
        <v>6.6</v>
      </c>
      <c r="P38" s="525">
        <v>15.27</v>
      </c>
      <c r="Q38" s="525">
        <v>-2.21</v>
      </c>
      <c r="R38" s="525">
        <v>-2.93</v>
      </c>
      <c r="S38" s="525">
        <v>4.75</v>
      </c>
    </row>
    <row r="39" spans="2:19">
      <c r="C39" s="3" t="s">
        <v>66</v>
      </c>
      <c r="D39" s="3" t="s">
        <v>100</v>
      </c>
      <c r="O39" s="525">
        <v>-2.4</v>
      </c>
      <c r="P39" s="525">
        <v>-7.55</v>
      </c>
      <c r="Q39" s="525">
        <v>0.77</v>
      </c>
      <c r="R39" s="525">
        <v>1.05</v>
      </c>
      <c r="S39" s="525">
        <v>-1.65</v>
      </c>
    </row>
    <row r="40" spans="2:19">
      <c r="B40" s="3" t="s">
        <v>99</v>
      </c>
      <c r="C40" s="3" t="s">
        <v>65</v>
      </c>
      <c r="D40" s="3" t="s">
        <v>102</v>
      </c>
      <c r="O40" s="525">
        <v>-98.66</v>
      </c>
      <c r="P40" s="525">
        <v>-106.97</v>
      </c>
      <c r="Q40" s="525">
        <v>-247.93</v>
      </c>
      <c r="R40" s="525">
        <v>-78.91</v>
      </c>
      <c r="S40" s="525">
        <v>105.09</v>
      </c>
    </row>
    <row r="41" spans="2:19">
      <c r="C41" s="3" t="s">
        <v>66</v>
      </c>
      <c r="D41" s="3" t="s">
        <v>101</v>
      </c>
      <c r="O41" s="525">
        <v>6.25</v>
      </c>
      <c r="P41" s="525">
        <v>10.83</v>
      </c>
      <c r="Q41" s="525">
        <v>23.98</v>
      </c>
      <c r="R41" s="525">
        <v>-11.09</v>
      </c>
      <c r="S41" s="525">
        <v>-19.100000000000001</v>
      </c>
    </row>
    <row r="42" spans="2:19">
      <c r="B42" s="2" t="s">
        <v>104</v>
      </c>
      <c r="O42" s="526">
        <f>SUM(O38:O41)</f>
        <v>-88.21</v>
      </c>
      <c r="P42" s="526">
        <f>SUM(P38:P41)</f>
        <v>-88.42</v>
      </c>
      <c r="Q42" s="526">
        <f>SUM(Q38:Q41)</f>
        <v>-225.39000000000001</v>
      </c>
      <c r="R42" s="526">
        <v>-91.88</v>
      </c>
      <c r="S42" s="526">
        <v>89.09</v>
      </c>
    </row>
    <row r="43" spans="2:19">
      <c r="B43" s="2" t="s">
        <v>105</v>
      </c>
      <c r="O43" s="526">
        <f>SUM(O36,O42)</f>
        <v>1606.7400000000005</v>
      </c>
      <c r="P43" s="526">
        <f>SUM(P36,P42)</f>
        <v>1653.8799999999992</v>
      </c>
      <c r="Q43" s="526">
        <f>SUM(Q36,Q42)</f>
        <v>1475.9399999999994</v>
      </c>
      <c r="R43" s="526">
        <v>1719.43</v>
      </c>
      <c r="S43" s="526">
        <v>1829.51</v>
      </c>
    </row>
    <row r="44" spans="2:19">
      <c r="B44" s="2" t="s">
        <v>106</v>
      </c>
      <c r="O44" s="525"/>
      <c r="P44" s="525"/>
      <c r="Q44" s="525"/>
      <c r="R44" s="525"/>
      <c r="S44" s="525"/>
    </row>
    <row r="45" spans="2:19">
      <c r="C45" s="3" t="s">
        <v>107</v>
      </c>
      <c r="O45" s="525">
        <v>1693.3</v>
      </c>
      <c r="P45" s="525">
        <v>1739.22</v>
      </c>
      <c r="Q45" s="525">
        <v>1707.15</v>
      </c>
      <c r="R45" s="525">
        <v>1842.68</v>
      </c>
      <c r="S45" s="525">
        <v>1767.63</v>
      </c>
    </row>
    <row r="46" spans="2:19">
      <c r="C46" s="3" t="s">
        <v>108</v>
      </c>
      <c r="O46" s="525">
        <v>1.65</v>
      </c>
      <c r="P46" s="525">
        <v>3.08</v>
      </c>
      <c r="Q46" s="525">
        <v>-5.82</v>
      </c>
      <c r="R46" s="525">
        <v>-31.37</v>
      </c>
      <c r="S46" s="525">
        <v>-27.21</v>
      </c>
    </row>
    <row r="47" spans="2:19">
      <c r="B47" s="2" t="s">
        <v>111</v>
      </c>
      <c r="O47" s="525"/>
      <c r="P47" s="525"/>
      <c r="Q47" s="525"/>
      <c r="R47" s="525"/>
      <c r="S47" s="525"/>
    </row>
    <row r="48" spans="2:19">
      <c r="C48" s="3" t="s">
        <v>107</v>
      </c>
      <c r="O48" s="525">
        <v>-86.79</v>
      </c>
      <c r="P48" s="525">
        <v>-89.2</v>
      </c>
      <c r="Q48" s="525">
        <v>-225.49</v>
      </c>
      <c r="R48" s="525">
        <v>-91.86</v>
      </c>
      <c r="S48" s="525">
        <v>89.09</v>
      </c>
    </row>
    <row r="49" spans="2:19">
      <c r="C49" s="3" t="s">
        <v>108</v>
      </c>
      <c r="O49" s="525">
        <v>-1.42</v>
      </c>
      <c r="P49" s="525">
        <v>0.78</v>
      </c>
      <c r="Q49" s="525">
        <v>0.11</v>
      </c>
      <c r="R49" s="525">
        <v>-0.02</v>
      </c>
      <c r="S49" s="525"/>
    </row>
    <row r="50" spans="2:19">
      <c r="B50" s="2" t="s">
        <v>109</v>
      </c>
      <c r="O50" s="525"/>
      <c r="P50" s="525"/>
      <c r="Q50" s="525"/>
      <c r="R50" s="525"/>
      <c r="S50" s="525"/>
    </row>
    <row r="51" spans="2:19">
      <c r="C51" s="3" t="s">
        <v>107</v>
      </c>
      <c r="O51" s="525">
        <v>1606.51</v>
      </c>
      <c r="P51" s="525">
        <v>1650.02</v>
      </c>
      <c r="Q51" s="525">
        <v>1481.66</v>
      </c>
      <c r="R51" s="525">
        <v>1750.82</v>
      </c>
      <c r="S51" s="525">
        <v>1856.72</v>
      </c>
    </row>
    <row r="52" spans="2:19">
      <c r="C52" s="3" t="s">
        <v>108</v>
      </c>
      <c r="O52" s="525">
        <v>0.23</v>
      </c>
      <c r="P52" s="525">
        <v>3.86</v>
      </c>
      <c r="Q52" s="525">
        <v>-5.72</v>
      </c>
      <c r="R52" s="525">
        <v>-31.39</v>
      </c>
      <c r="S52" s="525">
        <v>-27.21</v>
      </c>
    </row>
    <row r="53" spans="2:19">
      <c r="B53" s="2" t="s">
        <v>598</v>
      </c>
      <c r="O53" s="525"/>
      <c r="P53" s="525"/>
      <c r="Q53" s="525"/>
      <c r="R53" s="525"/>
      <c r="S53" s="525"/>
    </row>
    <row r="54" spans="2:19" ht="28" thickBot="1">
      <c r="B54" s="543" t="s">
        <v>599</v>
      </c>
      <c r="C54" s="543"/>
      <c r="D54" s="543"/>
      <c r="E54" s="543"/>
      <c r="F54" s="543"/>
      <c r="G54" s="543"/>
      <c r="H54" s="543"/>
      <c r="I54" s="543"/>
      <c r="J54" s="543"/>
      <c r="K54" s="543"/>
      <c r="L54" s="543"/>
      <c r="M54" s="543"/>
      <c r="N54" s="543"/>
      <c r="O54" s="544">
        <v>9.58</v>
      </c>
      <c r="P54" s="544">
        <v>9.84</v>
      </c>
      <c r="Q54" s="544">
        <v>9.64</v>
      </c>
      <c r="R54" s="544">
        <v>10.4</v>
      </c>
      <c r="S54" s="544">
        <v>9.9700000000000006</v>
      </c>
    </row>
    <row r="55" spans="2:19">
      <c r="B55" s="3" t="s">
        <v>600</v>
      </c>
      <c r="O55" s="525">
        <v>9.5500000000000007</v>
      </c>
      <c r="P55" s="525">
        <v>9.81</v>
      </c>
      <c r="Q55" s="525">
        <v>9.61</v>
      </c>
      <c r="R55" s="525">
        <v>10.38</v>
      </c>
      <c r="S55" s="525">
        <v>9.9499999999999993</v>
      </c>
    </row>
    <row r="56" spans="2:19">
      <c r="B56" s="2" t="s">
        <v>110</v>
      </c>
    </row>
    <row r="57" spans="2:19">
      <c r="B57" s="3" t="s">
        <v>438</v>
      </c>
      <c r="O57" s="525">
        <f>O54*O58</f>
        <v>4.79</v>
      </c>
      <c r="P57" s="525">
        <f t="shared" ref="P57:S57" si="3">P54*P58</f>
        <v>5.2152000000000003</v>
      </c>
      <c r="Q57" s="525">
        <f t="shared" si="3"/>
        <v>5.2056000000000004</v>
      </c>
      <c r="R57" s="525">
        <f t="shared" si="3"/>
        <v>5.5120000000000005</v>
      </c>
      <c r="S57" s="525">
        <f t="shared" si="3"/>
        <v>7.9760000000000009</v>
      </c>
    </row>
    <row r="58" spans="2:19">
      <c r="B58" s="3" t="s">
        <v>695</v>
      </c>
      <c r="O58" s="671">
        <v>0.5</v>
      </c>
      <c r="P58" s="671">
        <v>0.53</v>
      </c>
      <c r="Q58" s="671">
        <v>0.54</v>
      </c>
      <c r="R58" s="671">
        <v>0.53</v>
      </c>
      <c r="S58" s="671">
        <v>0.8</v>
      </c>
    </row>
  </sheetData>
  <mergeCells count="2">
    <mergeCell ref="B8:S8"/>
    <mergeCell ref="B9:S9"/>
  </mergeCells>
  <pageMargins left="0.7" right="0.7" top="0.75" bottom="0.75" header="0.3" footer="0.3"/>
  <pageSetup paperSize="9" orientation="portrait" horizontalDpi="0" verticalDpi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C516E-E494-3342-80E2-56DE58518400}">
  <sheetPr codeName="Sheet1">
    <tabColor rgb="FFFFFF00"/>
  </sheetPr>
  <dimension ref="B4:Z72"/>
  <sheetViews>
    <sheetView zoomScale="50" workbookViewId="0">
      <selection activeCell="E30" sqref="E30"/>
    </sheetView>
  </sheetViews>
  <sheetFormatPr baseColWidth="10" defaultRowHeight="27"/>
  <cols>
    <col min="1" max="12" width="10.83203125" style="1"/>
    <col min="13" max="13" width="20.1640625" style="1" customWidth="1"/>
    <col min="14" max="14" width="23.1640625" style="1" customWidth="1"/>
    <col min="15" max="15" width="24.5" style="1" customWidth="1"/>
    <col min="16" max="16" width="21.83203125" style="1" customWidth="1"/>
    <col min="17" max="17" width="28.5" style="1" customWidth="1"/>
    <col min="18" max="18" width="15.83203125" style="1" customWidth="1"/>
    <col min="19" max="16384" width="10.83203125" style="1"/>
  </cols>
  <sheetData>
    <row r="4" spans="2:26" ht="35" customHeight="1">
      <c r="E4" s="4"/>
      <c r="F4" s="4"/>
      <c r="G4" s="4"/>
      <c r="H4" s="4"/>
      <c r="I4" s="4"/>
      <c r="J4" s="4"/>
      <c r="K4" s="4"/>
      <c r="L4" s="4"/>
    </row>
    <row r="5" spans="2:26" ht="47">
      <c r="B5" s="537" t="s">
        <v>595</v>
      </c>
      <c r="C5" s="4"/>
      <c r="D5" s="4"/>
      <c r="E5" s="4"/>
      <c r="F5" s="4"/>
      <c r="G5" s="4"/>
      <c r="H5" s="4"/>
      <c r="I5" s="4"/>
      <c r="J5" s="4"/>
      <c r="K5" s="4"/>
      <c r="L5" s="4"/>
    </row>
    <row r="6" spans="2:26">
      <c r="B6" s="534" t="s">
        <v>650</v>
      </c>
      <c r="C6" s="4"/>
      <c r="D6" s="4"/>
      <c r="Q6"/>
    </row>
    <row r="7" spans="2:26">
      <c r="B7" s="533" t="s">
        <v>596</v>
      </c>
      <c r="C7" s="4"/>
      <c r="D7" s="4"/>
      <c r="E7" s="531"/>
      <c r="F7" s="531"/>
      <c r="G7" s="531"/>
      <c r="H7" s="531"/>
      <c r="I7" s="531"/>
      <c r="J7" s="531"/>
      <c r="K7" s="531"/>
      <c r="L7" s="531"/>
    </row>
    <row r="8" spans="2:26" ht="31">
      <c r="B8" s="700" t="s">
        <v>594</v>
      </c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535"/>
      <c r="S8" s="535"/>
      <c r="T8" s="535"/>
      <c r="U8" s="535"/>
      <c r="V8" s="535"/>
      <c r="W8" s="535"/>
      <c r="X8" s="535"/>
      <c r="Y8" s="535"/>
      <c r="Z8" s="535"/>
    </row>
    <row r="9" spans="2:26" ht="32">
      <c r="B9" s="702" t="s">
        <v>597</v>
      </c>
      <c r="C9" s="702"/>
      <c r="D9" s="702"/>
      <c r="E9" s="702"/>
      <c r="F9" s="702"/>
      <c r="G9" s="702"/>
      <c r="H9" s="702"/>
      <c r="I9" s="702"/>
      <c r="J9" s="702"/>
      <c r="K9" s="702"/>
      <c r="L9" s="702"/>
      <c r="M9" s="702"/>
      <c r="N9" s="702"/>
      <c r="O9" s="702"/>
      <c r="P9" s="702"/>
      <c r="Q9" s="702"/>
      <c r="R9" s="536"/>
      <c r="S9" s="550"/>
      <c r="T9" s="550"/>
      <c r="U9" s="550"/>
      <c r="V9" s="550"/>
      <c r="W9" s="550"/>
      <c r="X9" s="550"/>
      <c r="Y9" s="550"/>
      <c r="Z9" s="550"/>
    </row>
    <row r="10" spans="2:26">
      <c r="B10" s="524" t="s">
        <v>1</v>
      </c>
      <c r="C10" s="524"/>
      <c r="D10" s="524"/>
      <c r="E10" s="524"/>
      <c r="F10" s="524"/>
      <c r="G10" s="524"/>
      <c r="H10" s="524"/>
      <c r="I10" s="524"/>
      <c r="J10" s="524"/>
      <c r="K10" s="524" t="s">
        <v>46</v>
      </c>
      <c r="L10" s="524"/>
      <c r="M10" s="532" t="s">
        <v>589</v>
      </c>
      <c r="N10" s="532" t="s">
        <v>590</v>
      </c>
      <c r="O10" s="532" t="s">
        <v>591</v>
      </c>
      <c r="P10" s="532" t="s">
        <v>592</v>
      </c>
      <c r="Q10" s="532" t="s">
        <v>593</v>
      </c>
    </row>
    <row r="11" spans="2:26">
      <c r="B11" s="529" t="s">
        <v>2</v>
      </c>
    </row>
    <row r="12" spans="2:26">
      <c r="B12" s="2" t="s">
        <v>72</v>
      </c>
    </row>
    <row r="13" spans="2:26">
      <c r="B13" s="1" t="s">
        <v>57</v>
      </c>
      <c r="C13" s="1" t="s">
        <v>3</v>
      </c>
      <c r="M13" s="530">
        <v>1811.7</v>
      </c>
      <c r="N13" s="530">
        <v>1967.95</v>
      </c>
      <c r="O13" s="530">
        <v>2237.62</v>
      </c>
      <c r="P13" s="530">
        <v>2560.94</v>
      </c>
      <c r="Q13" s="530">
        <v>2799.88</v>
      </c>
    </row>
    <row r="14" spans="2:26">
      <c r="B14" s="1" t="s">
        <v>58</v>
      </c>
      <c r="C14" s="1" t="s">
        <v>4</v>
      </c>
      <c r="M14" s="530">
        <v>147.30000000000001</v>
      </c>
      <c r="N14" s="530">
        <v>167.5</v>
      </c>
      <c r="O14" s="530">
        <v>175.13</v>
      </c>
      <c r="P14" s="530">
        <v>209.09</v>
      </c>
      <c r="Q14" s="530">
        <v>166.41</v>
      </c>
    </row>
    <row r="15" spans="2:26">
      <c r="B15" s="1" t="s">
        <v>59</v>
      </c>
      <c r="C15" s="1" t="s">
        <v>5</v>
      </c>
      <c r="M15" s="530">
        <v>50.5</v>
      </c>
      <c r="N15" s="530">
        <v>49.07</v>
      </c>
      <c r="O15" s="530">
        <v>47.05</v>
      </c>
      <c r="P15" s="530">
        <v>45.45</v>
      </c>
      <c r="Q15" s="530">
        <v>43.5</v>
      </c>
    </row>
    <row r="16" spans="2:26">
      <c r="B16" s="1" t="s">
        <v>60</v>
      </c>
      <c r="C16" s="1" t="s">
        <v>6</v>
      </c>
      <c r="M16" s="530">
        <v>336.01</v>
      </c>
      <c r="N16" s="530">
        <v>251.15</v>
      </c>
      <c r="O16" s="530">
        <v>405.25</v>
      </c>
      <c r="P16" s="530">
        <v>405.12</v>
      </c>
      <c r="Q16" s="530">
        <v>405.09</v>
      </c>
    </row>
    <row r="17" spans="2:17">
      <c r="B17" s="1" t="s">
        <v>61</v>
      </c>
      <c r="C17" s="1" t="s">
        <v>7</v>
      </c>
      <c r="M17" s="530">
        <v>44.71</v>
      </c>
      <c r="N17" s="530">
        <v>39.729999999999997</v>
      </c>
      <c r="O17" s="530">
        <v>888.73</v>
      </c>
      <c r="P17" s="530">
        <v>803.49</v>
      </c>
      <c r="Q17" s="530">
        <v>741.22</v>
      </c>
    </row>
    <row r="18" spans="2:17">
      <c r="B18" s="1" t="s">
        <v>62</v>
      </c>
      <c r="C18" s="1" t="s">
        <v>8</v>
      </c>
      <c r="M18" s="530"/>
      <c r="N18" s="530"/>
      <c r="O18" s="530"/>
      <c r="P18" s="530">
        <v>23.14</v>
      </c>
      <c r="Q18" s="530">
        <v>2.58</v>
      </c>
    </row>
    <row r="19" spans="2:17">
      <c r="B19" s="1" t="s">
        <v>63</v>
      </c>
      <c r="C19" s="1" t="s">
        <v>9</v>
      </c>
      <c r="M19" s="530">
        <v>11.27</v>
      </c>
      <c r="N19" s="530">
        <v>9.4700000000000006</v>
      </c>
      <c r="O19" s="530">
        <v>7.84</v>
      </c>
      <c r="P19" s="530">
        <v>7.33</v>
      </c>
      <c r="Q19" s="530">
        <v>7.58</v>
      </c>
    </row>
    <row r="20" spans="2:17">
      <c r="B20" s="1" t="s">
        <v>64</v>
      </c>
      <c r="C20" s="1" t="s">
        <v>10</v>
      </c>
      <c r="M20" s="530"/>
      <c r="N20" s="530"/>
      <c r="O20" s="530"/>
      <c r="P20" s="530"/>
      <c r="Q20" s="530"/>
    </row>
    <row r="21" spans="2:17">
      <c r="C21" s="1" t="s">
        <v>65</v>
      </c>
      <c r="D21" s="1" t="s">
        <v>11</v>
      </c>
      <c r="M21" s="530">
        <v>3402.35</v>
      </c>
      <c r="N21" s="530">
        <v>5355.59</v>
      </c>
      <c r="O21" s="530">
        <v>5520.95</v>
      </c>
      <c r="P21" s="530">
        <v>5278.76</v>
      </c>
      <c r="Q21" s="530">
        <v>5372.43</v>
      </c>
    </row>
    <row r="22" spans="2:17">
      <c r="C22" s="1" t="s">
        <v>66</v>
      </c>
      <c r="D22" s="1" t="s">
        <v>12</v>
      </c>
      <c r="M22" s="530">
        <v>88.65</v>
      </c>
      <c r="N22" s="530">
        <v>23.32</v>
      </c>
      <c r="O22" s="530">
        <v>30.39</v>
      </c>
      <c r="P22" s="530">
        <v>20.83</v>
      </c>
      <c r="Q22" s="530">
        <v>21.39</v>
      </c>
    </row>
    <row r="23" spans="2:17">
      <c r="C23" s="1" t="s">
        <v>69</v>
      </c>
      <c r="D23" s="1" t="s">
        <v>577</v>
      </c>
      <c r="M23" s="530">
        <v>22.48</v>
      </c>
      <c r="N23" s="530"/>
      <c r="O23" s="530"/>
      <c r="P23" s="530"/>
      <c r="Q23" s="530"/>
    </row>
    <row r="24" spans="2:17">
      <c r="B24" s="1" t="s">
        <v>67</v>
      </c>
      <c r="C24" s="1" t="s">
        <v>13</v>
      </c>
      <c r="M24" s="530">
        <v>17.95</v>
      </c>
      <c r="N24" s="530">
        <v>0.67</v>
      </c>
      <c r="O24" s="530">
        <v>2.09</v>
      </c>
      <c r="P24" s="530">
        <v>6.32</v>
      </c>
      <c r="Q24" s="530">
        <v>2.5299999999999998</v>
      </c>
    </row>
    <row r="25" spans="2:17">
      <c r="B25" s="1" t="s">
        <v>67</v>
      </c>
      <c r="C25" s="1" t="s">
        <v>14</v>
      </c>
      <c r="M25" s="530">
        <v>4.29</v>
      </c>
      <c r="N25" s="530">
        <v>4.5</v>
      </c>
      <c r="O25" s="530">
        <v>4.49</v>
      </c>
      <c r="P25" s="530">
        <v>4.45</v>
      </c>
      <c r="Q25" s="530">
        <v>0.16</v>
      </c>
    </row>
    <row r="26" spans="2:17">
      <c r="B26" s="1" t="s">
        <v>68</v>
      </c>
      <c r="C26" s="1" t="s">
        <v>15</v>
      </c>
      <c r="M26" s="530">
        <v>133.97999999999999</v>
      </c>
      <c r="N26" s="530">
        <v>98.74</v>
      </c>
      <c r="O26" s="530">
        <v>85.87</v>
      </c>
      <c r="P26" s="530">
        <v>98.14</v>
      </c>
      <c r="Q26" s="530">
        <v>136.30000000000001</v>
      </c>
    </row>
    <row r="27" spans="2:17" ht="28" thickBot="1">
      <c r="B27" s="539" t="s">
        <v>16</v>
      </c>
      <c r="C27" s="540"/>
      <c r="D27" s="540"/>
      <c r="E27" s="540"/>
      <c r="F27" s="540"/>
      <c r="G27" s="540"/>
      <c r="H27" s="540"/>
      <c r="I27" s="540"/>
      <c r="J27" s="540"/>
      <c r="K27" s="540"/>
      <c r="L27" s="540"/>
      <c r="M27" s="542">
        <f>SUM(M13:M26)</f>
        <v>6071.1899999999987</v>
      </c>
      <c r="N27" s="542">
        <f>SUM(N13:N26)</f>
        <v>7967.69</v>
      </c>
      <c r="O27" s="542">
        <f>SUM(O13:O26)</f>
        <v>9405.41</v>
      </c>
      <c r="P27" s="542">
        <v>9443.06</v>
      </c>
      <c r="Q27" s="542">
        <v>9699.82</v>
      </c>
    </row>
    <row r="28" spans="2:17">
      <c r="B28" s="2" t="s">
        <v>17</v>
      </c>
      <c r="M28" s="530"/>
      <c r="N28" s="530"/>
      <c r="O28" s="530"/>
      <c r="P28" s="530"/>
      <c r="Q28" s="530"/>
    </row>
    <row r="29" spans="2:17">
      <c r="B29" s="1" t="s">
        <v>57</v>
      </c>
      <c r="C29" s="1" t="s">
        <v>18</v>
      </c>
      <c r="M29" s="530">
        <v>1734.28</v>
      </c>
      <c r="N29" s="530">
        <v>1911.37</v>
      </c>
      <c r="O29" s="530">
        <v>2024.2</v>
      </c>
      <c r="P29" s="530">
        <v>1946.97</v>
      </c>
      <c r="Q29" s="530">
        <v>2300.11</v>
      </c>
    </row>
    <row r="30" spans="2:17">
      <c r="B30" s="1" t="s">
        <v>58</v>
      </c>
      <c r="C30" s="1" t="s">
        <v>19</v>
      </c>
      <c r="M30" s="530"/>
      <c r="N30" s="530"/>
      <c r="O30" s="530"/>
      <c r="P30" s="530"/>
      <c r="Q30" s="530"/>
    </row>
    <row r="31" spans="2:17">
      <c r="C31" s="1" t="s">
        <v>65</v>
      </c>
      <c r="D31" s="1" t="s">
        <v>20</v>
      </c>
      <c r="M31" s="530">
        <v>746.01</v>
      </c>
      <c r="N31" s="530">
        <v>854.56</v>
      </c>
      <c r="O31" s="530">
        <v>736.47</v>
      </c>
      <c r="P31" s="530">
        <v>1666.6</v>
      </c>
      <c r="Q31" s="530">
        <v>2087.5500000000002</v>
      </c>
    </row>
    <row r="32" spans="2:17">
      <c r="C32" s="1" t="s">
        <v>66</v>
      </c>
      <c r="D32" s="1" t="s">
        <v>21</v>
      </c>
      <c r="M32" s="530">
        <v>561.58000000000004</v>
      </c>
      <c r="N32" s="530">
        <v>646.15</v>
      </c>
      <c r="O32" s="530">
        <v>848.75</v>
      </c>
      <c r="P32" s="530">
        <v>898.72</v>
      </c>
      <c r="Q32" s="530">
        <v>888.5</v>
      </c>
    </row>
    <row r="33" spans="2:17">
      <c r="C33" s="1" t="s">
        <v>69</v>
      </c>
      <c r="D33" s="1" t="s">
        <v>22</v>
      </c>
      <c r="M33" s="530">
        <v>241.23</v>
      </c>
      <c r="N33" s="530">
        <v>255.91</v>
      </c>
      <c r="O33" s="530">
        <v>146.82</v>
      </c>
      <c r="P33" s="530">
        <v>247.6</v>
      </c>
      <c r="Q33" s="530">
        <v>184.27</v>
      </c>
    </row>
    <row r="34" spans="2:17">
      <c r="C34" s="1" t="s">
        <v>70</v>
      </c>
      <c r="D34" s="1" t="s">
        <v>23</v>
      </c>
      <c r="M34" s="530">
        <v>1087.8</v>
      </c>
      <c r="N34" s="530">
        <v>314.23</v>
      </c>
      <c r="O34" s="530">
        <v>179.1</v>
      </c>
      <c r="P34" s="530">
        <v>418.76</v>
      </c>
      <c r="Q34" s="530">
        <v>393.74</v>
      </c>
    </row>
    <row r="35" spans="2:17">
      <c r="C35" s="1" t="s">
        <v>71</v>
      </c>
      <c r="D35" s="1" t="s">
        <v>24</v>
      </c>
      <c r="M35" s="530">
        <v>2.95</v>
      </c>
      <c r="N35" s="530">
        <v>36.21</v>
      </c>
      <c r="O35" s="530">
        <v>28.97</v>
      </c>
      <c r="P35" s="530">
        <v>42.51</v>
      </c>
      <c r="Q35" s="530">
        <v>44.02</v>
      </c>
    </row>
    <row r="36" spans="2:17">
      <c r="C36" s="1" t="s">
        <v>70</v>
      </c>
      <c r="D36" s="1" t="s">
        <v>577</v>
      </c>
      <c r="M36" s="530">
        <v>14.46</v>
      </c>
      <c r="N36" s="530"/>
      <c r="O36" s="530"/>
      <c r="P36" s="530"/>
      <c r="Q36" s="530"/>
    </row>
    <row r="37" spans="2:17">
      <c r="B37" s="1" t="s">
        <v>59</v>
      </c>
      <c r="C37" s="1" t="s">
        <v>25</v>
      </c>
      <c r="M37" s="530">
        <v>0.24</v>
      </c>
      <c r="N37" s="530">
        <v>0.64</v>
      </c>
      <c r="O37" s="530">
        <v>6.43</v>
      </c>
      <c r="P37" s="530">
        <v>0.08</v>
      </c>
      <c r="Q37" s="530">
        <v>2.56</v>
      </c>
    </row>
    <row r="38" spans="2:17">
      <c r="B38" s="1" t="s">
        <v>60</v>
      </c>
      <c r="C38" s="1" t="s">
        <v>26</v>
      </c>
      <c r="M38" s="530">
        <v>387.12</v>
      </c>
      <c r="N38" s="530">
        <v>297.47000000000003</v>
      </c>
      <c r="O38" s="530">
        <v>278.22000000000003</v>
      </c>
      <c r="P38" s="530">
        <v>458.38</v>
      </c>
      <c r="Q38" s="530">
        <v>631.71</v>
      </c>
    </row>
    <row r="39" spans="2:17">
      <c r="B39" s="1" t="s">
        <v>61</v>
      </c>
      <c r="C39" s="1" t="s">
        <v>578</v>
      </c>
      <c r="M39" s="530">
        <v>0.27</v>
      </c>
      <c r="N39" s="530"/>
      <c r="O39" s="530"/>
      <c r="P39" s="530"/>
      <c r="Q39" s="530"/>
    </row>
    <row r="40" spans="2:17">
      <c r="B40" s="2" t="s">
        <v>27</v>
      </c>
      <c r="M40" s="526">
        <f>SUM(M29:M39)</f>
        <v>4775.9399999999996</v>
      </c>
      <c r="N40" s="526">
        <f>SUM(N29:N38)</f>
        <v>4316.54</v>
      </c>
      <c r="O40" s="526">
        <f>SUM(O29:O38)</f>
        <v>4248.96</v>
      </c>
      <c r="P40" s="526">
        <v>5679.62</v>
      </c>
      <c r="Q40" s="526">
        <v>6532.46</v>
      </c>
    </row>
    <row r="41" spans="2:17" ht="28" thickBot="1">
      <c r="B41" s="539" t="s">
        <v>28</v>
      </c>
      <c r="C41" s="540"/>
      <c r="D41" s="540"/>
      <c r="E41" s="540"/>
      <c r="F41" s="540"/>
      <c r="G41" s="540"/>
      <c r="H41" s="540"/>
      <c r="I41" s="540"/>
      <c r="J41" s="540"/>
      <c r="K41" s="540"/>
      <c r="L41" s="540"/>
      <c r="M41" s="541">
        <f>SUM(M40,M27)</f>
        <v>10847.129999999997</v>
      </c>
      <c r="N41" s="542">
        <f>N40+N27</f>
        <v>12284.23</v>
      </c>
      <c r="O41" s="542">
        <f>SUM(O40,O27)</f>
        <v>13654.369999999999</v>
      </c>
      <c r="P41" s="542">
        <v>15122.68</v>
      </c>
      <c r="Q41" s="542">
        <v>16232.28</v>
      </c>
    </row>
    <row r="42" spans="2:17">
      <c r="B42" s="529" t="s">
        <v>29</v>
      </c>
      <c r="M42" s="530"/>
      <c r="N42" s="530"/>
      <c r="O42" s="530"/>
      <c r="P42" s="530"/>
      <c r="Q42" s="530"/>
    </row>
    <row r="43" spans="2:17">
      <c r="B43" s="2" t="s">
        <v>30</v>
      </c>
      <c r="M43" s="530"/>
      <c r="N43" s="530"/>
      <c r="O43" s="530"/>
      <c r="P43" s="530"/>
      <c r="Q43" s="530"/>
    </row>
    <row r="44" spans="2:17">
      <c r="B44" s="1" t="s">
        <v>57</v>
      </c>
      <c r="C44" s="1" t="s">
        <v>31</v>
      </c>
      <c r="M44" s="530">
        <v>176.74</v>
      </c>
      <c r="N44" s="530">
        <v>176.79</v>
      </c>
      <c r="O44" s="530">
        <v>177.18</v>
      </c>
      <c r="P44" s="530">
        <v>177.2</v>
      </c>
      <c r="Q44" s="530">
        <v>177.23</v>
      </c>
    </row>
    <row r="45" spans="2:17">
      <c r="B45" s="1" t="s">
        <v>58</v>
      </c>
      <c r="C45" s="1" t="s">
        <v>32</v>
      </c>
      <c r="M45" s="530">
        <v>7486.79</v>
      </c>
      <c r="N45" s="530">
        <v>8204.51</v>
      </c>
      <c r="O45" s="530">
        <v>8796.08</v>
      </c>
      <c r="P45" s="530">
        <v>9689.1</v>
      </c>
      <c r="Q45" s="530">
        <v>10623.46</v>
      </c>
    </row>
    <row r="46" spans="2:17">
      <c r="B46" s="2" t="s">
        <v>33</v>
      </c>
      <c r="M46" s="526">
        <f>SUM(M44:M45)</f>
        <v>7663.53</v>
      </c>
      <c r="N46" s="526">
        <f>SUM(N44:N45)</f>
        <v>8381.3000000000011</v>
      </c>
      <c r="O46" s="526">
        <f>SUM(O44:O45)</f>
        <v>8973.26</v>
      </c>
      <c r="P46" s="526">
        <v>9866.2999999999993</v>
      </c>
      <c r="Q46" s="526">
        <v>10800.69</v>
      </c>
    </row>
    <row r="47" spans="2:17">
      <c r="B47" s="1" t="s">
        <v>59</v>
      </c>
      <c r="C47" s="1" t="s">
        <v>34</v>
      </c>
      <c r="M47" s="530">
        <v>36.69</v>
      </c>
      <c r="N47" s="530">
        <v>40.549999999999997</v>
      </c>
      <c r="O47" s="530">
        <v>468.17</v>
      </c>
      <c r="P47" s="530">
        <v>436.78</v>
      </c>
      <c r="Q47" s="530">
        <v>409.57</v>
      </c>
    </row>
    <row r="48" spans="2:17" ht="28" thickBot="1">
      <c r="B48" s="539" t="s">
        <v>35</v>
      </c>
      <c r="C48" s="540"/>
      <c r="D48" s="540"/>
      <c r="E48" s="540"/>
      <c r="F48" s="540"/>
      <c r="G48" s="540"/>
      <c r="H48" s="540"/>
      <c r="I48" s="540"/>
      <c r="J48" s="540"/>
      <c r="K48" s="540"/>
      <c r="L48" s="540"/>
      <c r="M48" s="542">
        <f>SUM(M46:M47)</f>
        <v>7700.2199999999993</v>
      </c>
      <c r="N48" s="542">
        <f>SUM(N46:N47)</f>
        <v>8421.85</v>
      </c>
      <c r="O48" s="542">
        <f>SUM(O46:O47)</f>
        <v>9441.43</v>
      </c>
      <c r="P48" s="542">
        <v>10303.08</v>
      </c>
      <c r="Q48" s="542">
        <v>11210.26</v>
      </c>
    </row>
    <row r="49" spans="2:17">
      <c r="B49" s="2" t="s">
        <v>36</v>
      </c>
      <c r="M49" s="530"/>
      <c r="N49" s="530"/>
      <c r="O49" s="530"/>
      <c r="P49" s="530"/>
      <c r="Q49" s="530"/>
    </row>
    <row r="50" spans="2:17">
      <c r="B50" s="2" t="s">
        <v>37</v>
      </c>
      <c r="M50" s="530"/>
      <c r="N50" s="530"/>
      <c r="O50" s="530"/>
      <c r="P50" s="530"/>
      <c r="Q50" s="530"/>
    </row>
    <row r="51" spans="2:17">
      <c r="B51" s="3" t="s">
        <v>57</v>
      </c>
      <c r="C51" s="1" t="s">
        <v>38</v>
      </c>
      <c r="M51" s="530"/>
      <c r="N51" s="530"/>
      <c r="O51" s="530"/>
      <c r="P51" s="530"/>
      <c r="Q51" s="530"/>
    </row>
    <row r="52" spans="2:17">
      <c r="C52" s="1" t="s">
        <v>65</v>
      </c>
      <c r="D52" s="1" t="s">
        <v>39</v>
      </c>
      <c r="M52" s="530">
        <v>134.13</v>
      </c>
      <c r="N52" s="530">
        <v>250.36</v>
      </c>
      <c r="O52" s="530">
        <v>298.83999999999997</v>
      </c>
      <c r="P52" s="530">
        <v>535.97</v>
      </c>
      <c r="Q52" s="530">
        <v>304.02999999999997</v>
      </c>
    </row>
    <row r="53" spans="2:17">
      <c r="C53" s="1" t="s">
        <v>66</v>
      </c>
      <c r="D53" s="1" t="s">
        <v>40</v>
      </c>
      <c r="M53" s="530"/>
      <c r="N53" s="530">
        <v>139.58000000000001</v>
      </c>
      <c r="O53" s="530">
        <v>144.36000000000001</v>
      </c>
      <c r="P53" s="530">
        <v>170.27</v>
      </c>
      <c r="Q53" s="530">
        <v>181.92</v>
      </c>
    </row>
    <row r="54" spans="2:17">
      <c r="C54" s="1" t="s">
        <v>69</v>
      </c>
      <c r="D54" s="1" t="s">
        <v>41</v>
      </c>
      <c r="M54" s="530">
        <v>1.37</v>
      </c>
      <c r="N54" s="530">
        <v>4.25</v>
      </c>
      <c r="O54" s="530">
        <v>4.95</v>
      </c>
      <c r="P54" s="530">
        <v>5.59</v>
      </c>
      <c r="Q54" s="530">
        <v>1.91</v>
      </c>
    </row>
    <row r="55" spans="2:17">
      <c r="B55" s="1" t="s">
        <v>58</v>
      </c>
      <c r="C55" s="1" t="s">
        <v>42</v>
      </c>
      <c r="M55" s="530">
        <v>63.31</v>
      </c>
      <c r="N55" s="530">
        <v>63.68</v>
      </c>
      <c r="O55" s="530">
        <v>64.37</v>
      </c>
      <c r="P55" s="530">
        <v>68.31</v>
      </c>
      <c r="Q55" s="530">
        <v>71.45</v>
      </c>
    </row>
    <row r="56" spans="2:17">
      <c r="B56" s="1" t="s">
        <v>59</v>
      </c>
      <c r="C56" s="1" t="s">
        <v>43</v>
      </c>
      <c r="M56" s="530">
        <v>13.91</v>
      </c>
      <c r="N56" s="530">
        <v>82.27</v>
      </c>
      <c r="O56" s="530">
        <v>90.99</v>
      </c>
      <c r="P56" s="530">
        <v>109.03</v>
      </c>
      <c r="Q56" s="530">
        <v>144.27000000000001</v>
      </c>
    </row>
    <row r="57" spans="2:17" ht="28" thickBot="1">
      <c r="B57" s="539" t="s">
        <v>44</v>
      </c>
      <c r="C57" s="540"/>
      <c r="D57" s="540"/>
      <c r="E57" s="540"/>
      <c r="F57" s="540"/>
      <c r="G57" s="540"/>
      <c r="H57" s="540"/>
      <c r="I57" s="540"/>
      <c r="J57" s="540"/>
      <c r="K57" s="540"/>
      <c r="L57" s="540"/>
      <c r="M57" s="542">
        <f>SUM(M52:M56)</f>
        <v>212.72</v>
      </c>
      <c r="N57" s="542">
        <f>SUM(N52:N56)</f>
        <v>540.1400000000001</v>
      </c>
      <c r="O57" s="542">
        <f>SUM(O52:O56)</f>
        <v>603.51</v>
      </c>
      <c r="P57" s="542">
        <v>889.17</v>
      </c>
      <c r="Q57" s="542">
        <v>703.58</v>
      </c>
    </row>
    <row r="58" spans="2:17">
      <c r="B58" s="2" t="s">
        <v>47</v>
      </c>
      <c r="M58" s="530"/>
      <c r="N58" s="530"/>
      <c r="O58" s="530"/>
      <c r="P58" s="530"/>
      <c r="Q58" s="530"/>
    </row>
    <row r="59" spans="2:17">
      <c r="B59" s="1" t="s">
        <v>57</v>
      </c>
      <c r="C59" s="1" t="s">
        <v>38</v>
      </c>
      <c r="M59" s="530"/>
      <c r="N59" s="530"/>
      <c r="O59" s="530"/>
      <c r="P59" s="530">
        <v>0</v>
      </c>
      <c r="Q59" s="530"/>
    </row>
    <row r="60" spans="2:17">
      <c r="C60" s="1" t="s">
        <v>65</v>
      </c>
      <c r="D60" s="1" t="s">
        <v>48</v>
      </c>
      <c r="M60" s="530">
        <v>349.14</v>
      </c>
      <c r="N60" s="530">
        <v>617.29</v>
      </c>
      <c r="O60" s="530">
        <v>700.18</v>
      </c>
      <c r="P60" s="530">
        <v>622.1</v>
      </c>
      <c r="Q60" s="530">
        <v>426.09</v>
      </c>
    </row>
    <row r="61" spans="2:17">
      <c r="C61" s="1" t="s">
        <v>66</v>
      </c>
      <c r="D61" s="1" t="s">
        <v>40</v>
      </c>
      <c r="M61" s="530"/>
      <c r="N61" s="530">
        <v>22.87</v>
      </c>
      <c r="O61" s="530">
        <v>30.41</v>
      </c>
      <c r="P61" s="530">
        <v>36.75</v>
      </c>
      <c r="Q61" s="530">
        <v>38.33</v>
      </c>
    </row>
    <row r="62" spans="2:17">
      <c r="C62" s="1" t="s">
        <v>69</v>
      </c>
      <c r="D62" s="1" t="s">
        <v>49</v>
      </c>
      <c r="M62" s="530"/>
      <c r="N62" s="530"/>
      <c r="O62" s="530"/>
      <c r="P62" s="530"/>
      <c r="Q62" s="530"/>
    </row>
    <row r="63" spans="2:17">
      <c r="D63" s="1" t="s">
        <v>50</v>
      </c>
      <c r="M63" s="530">
        <v>117.87</v>
      </c>
      <c r="N63" s="530">
        <v>147.22</v>
      </c>
      <c r="O63" s="530">
        <v>165.24</v>
      </c>
      <c r="P63" s="530">
        <v>184.98</v>
      </c>
      <c r="Q63" s="530">
        <v>132.49</v>
      </c>
    </row>
    <row r="64" spans="2:17">
      <c r="D64" s="1" t="s">
        <v>51</v>
      </c>
      <c r="M64" s="530">
        <v>1797.39</v>
      </c>
      <c r="N64" s="530">
        <v>1870.73</v>
      </c>
      <c r="O64" s="530">
        <v>2021.37</v>
      </c>
      <c r="P64" s="530">
        <v>2236.73</v>
      </c>
      <c r="Q64" s="530">
        <v>2692.85</v>
      </c>
    </row>
    <row r="65" spans="2:17">
      <c r="C65" s="1" t="s">
        <v>70</v>
      </c>
      <c r="D65" s="1" t="s">
        <v>41</v>
      </c>
      <c r="M65" s="530">
        <v>238.93</v>
      </c>
      <c r="N65" s="530">
        <v>251.95</v>
      </c>
      <c r="O65" s="530">
        <v>279.83999999999997</v>
      </c>
      <c r="P65" s="530">
        <v>312.60000000000002</v>
      </c>
      <c r="Q65" s="530">
        <v>367.1</v>
      </c>
    </row>
    <row r="66" spans="2:17">
      <c r="B66" s="1" t="s">
        <v>58</v>
      </c>
      <c r="C66" s="1" t="s">
        <v>52</v>
      </c>
      <c r="M66" s="530">
        <v>158.44</v>
      </c>
      <c r="N66" s="530">
        <v>91.42</v>
      </c>
      <c r="O66" s="530">
        <v>66.7</v>
      </c>
      <c r="P66" s="530">
        <v>112.35</v>
      </c>
      <c r="Q66" s="530">
        <v>134.15</v>
      </c>
    </row>
    <row r="67" spans="2:17">
      <c r="B67" s="1" t="s">
        <v>59</v>
      </c>
      <c r="C67" s="1" t="s">
        <v>42</v>
      </c>
      <c r="M67" s="530">
        <v>187.84</v>
      </c>
      <c r="N67" s="530">
        <v>186</v>
      </c>
      <c r="O67" s="530">
        <v>214.01</v>
      </c>
      <c r="P67" s="530">
        <v>249.89</v>
      </c>
      <c r="Q67" s="530">
        <v>260.52999999999997</v>
      </c>
    </row>
    <row r="68" spans="2:17">
      <c r="B68" s="1" t="s">
        <v>60</v>
      </c>
      <c r="C68" s="1" t="s">
        <v>53</v>
      </c>
      <c r="M68" s="530">
        <v>84.58</v>
      </c>
      <c r="N68" s="530">
        <v>135.06</v>
      </c>
      <c r="O68" s="530">
        <v>131.68</v>
      </c>
      <c r="P68" s="530">
        <v>175.03</v>
      </c>
      <c r="Q68" s="530">
        <v>266.89999999999998</v>
      </c>
    </row>
    <row r="69" spans="2:17" ht="28" thickBot="1">
      <c r="B69" s="539" t="s">
        <v>54</v>
      </c>
      <c r="C69" s="540"/>
      <c r="D69" s="540"/>
      <c r="E69" s="540"/>
      <c r="F69" s="540"/>
      <c r="G69" s="540"/>
      <c r="H69" s="540"/>
      <c r="I69" s="540"/>
      <c r="J69" s="540"/>
      <c r="K69" s="540"/>
      <c r="L69" s="540"/>
      <c r="M69" s="542">
        <f>SUM(M60:M68)</f>
        <v>2934.19</v>
      </c>
      <c r="N69" s="542">
        <f>SUM(N60:N68)</f>
        <v>3322.54</v>
      </c>
      <c r="O69" s="542">
        <f>SUM(O60:O68)</f>
        <v>3609.43</v>
      </c>
      <c r="P69" s="542">
        <f>SUM(P60:P68)</f>
        <v>3930.43</v>
      </c>
      <c r="Q69" s="542">
        <f>SUM(Q60:Q68)</f>
        <v>4318.4399999999996</v>
      </c>
    </row>
    <row r="70" spans="2:17">
      <c r="B70" s="2" t="s">
        <v>55</v>
      </c>
      <c r="M70" s="526">
        <f>SUM(M69,M57)</f>
        <v>3146.91</v>
      </c>
      <c r="N70" s="526">
        <f>SUM(N69,N57)</f>
        <v>3862.6800000000003</v>
      </c>
      <c r="O70" s="526">
        <f>SUM(O69,O57)</f>
        <v>4212.9399999999996</v>
      </c>
      <c r="P70" s="526">
        <f>SUM(P69,P57)</f>
        <v>4819.5999999999995</v>
      </c>
      <c r="Q70" s="526">
        <f>SUM(Q69,Q57)</f>
        <v>5022.0199999999995</v>
      </c>
    </row>
    <row r="71" spans="2:17" ht="28" thickBot="1">
      <c r="B71" s="539" t="s">
        <v>56</v>
      </c>
      <c r="C71" s="540"/>
      <c r="D71" s="540"/>
      <c r="E71" s="540"/>
      <c r="F71" s="540"/>
      <c r="G71" s="540"/>
      <c r="H71" s="540"/>
      <c r="I71" s="540"/>
      <c r="J71" s="540"/>
      <c r="K71" s="540"/>
      <c r="L71" s="540"/>
      <c r="M71" s="542">
        <f>SUM(M48,M70)</f>
        <v>10847.13</v>
      </c>
      <c r="N71" s="542">
        <f>SUM(N48,N70)</f>
        <v>12284.53</v>
      </c>
      <c r="O71" s="542">
        <f>SUM(O48,O70)</f>
        <v>13654.369999999999</v>
      </c>
      <c r="P71" s="542">
        <f>SUM(P70,P48)</f>
        <v>15122.68</v>
      </c>
      <c r="Q71" s="542">
        <f>SUM(Q70,Q48)</f>
        <v>16232.279999999999</v>
      </c>
    </row>
    <row r="72" spans="2:17">
      <c r="B72" s="2" t="s">
        <v>45</v>
      </c>
    </row>
  </sheetData>
  <mergeCells count="2">
    <mergeCell ref="B8:Q8"/>
    <mergeCell ref="B9:Q9"/>
  </mergeCells>
  <phoneticPr fontId="17" type="noConversion"/>
  <pageMargins left="0.7" right="0.7" top="0.75" bottom="0.75" header="0.3" footer="0.3"/>
  <pageSetup paperSize="9" orientation="portrait" horizontalDpi="0" verticalDpi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F2899-6F9B-4540-B2F0-54F7553A0C12}">
  <sheetPr codeName="Sheet3">
    <tabColor rgb="FFFFFF00"/>
  </sheetPr>
  <dimension ref="A2:R73"/>
  <sheetViews>
    <sheetView zoomScale="69" workbookViewId="0">
      <selection activeCell="E30" sqref="E30"/>
    </sheetView>
  </sheetViews>
  <sheetFormatPr baseColWidth="10" defaultRowHeight="27"/>
  <cols>
    <col min="1" max="10" width="10.83203125" style="3"/>
    <col min="11" max="11" width="15.1640625" style="3" bestFit="1" customWidth="1"/>
    <col min="12" max="12" width="25.1640625" style="3" customWidth="1"/>
    <col min="13" max="13" width="9.5" style="3" bestFit="1" customWidth="1"/>
    <col min="14" max="18" width="25.1640625" style="3" customWidth="1"/>
    <col min="19" max="16384" width="10.83203125" style="3"/>
  </cols>
  <sheetData>
    <row r="2" spans="1:18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>
      <c r="A4" s="1"/>
      <c r="B4" s="1"/>
      <c r="C4" s="1"/>
      <c r="D4" s="1"/>
      <c r="E4" s="4"/>
      <c r="F4" s="4"/>
      <c r="G4" s="4"/>
      <c r="H4" s="4"/>
      <c r="I4" s="4"/>
      <c r="J4" s="4"/>
      <c r="K4" s="4"/>
      <c r="L4" s="4"/>
      <c r="M4" s="4"/>
      <c r="N4" s="1"/>
      <c r="O4" s="1"/>
      <c r="P4" s="1"/>
      <c r="Q4" s="1"/>
      <c r="R4" s="1"/>
    </row>
    <row r="5" spans="1:18" ht="47">
      <c r="A5" s="1"/>
      <c r="B5" s="537" t="s">
        <v>595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  <c r="P5" s="1"/>
      <c r="Q5" s="1"/>
      <c r="R5" s="1"/>
    </row>
    <row r="6" spans="1:18">
      <c r="A6" s="1"/>
      <c r="C6" s="534" t="s">
        <v>650</v>
      </c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/>
    </row>
    <row r="7" spans="1:18">
      <c r="A7" s="1"/>
      <c r="C7" s="533" t="s">
        <v>596</v>
      </c>
      <c r="D7" s="4"/>
      <c r="E7" s="531"/>
      <c r="F7" s="531"/>
      <c r="G7" s="531"/>
      <c r="H7" s="531"/>
      <c r="I7" s="531"/>
      <c r="J7" s="531"/>
      <c r="K7" s="531"/>
      <c r="L7" s="531"/>
      <c r="M7" s="531"/>
      <c r="N7" s="1"/>
      <c r="O7" s="1"/>
      <c r="P7" s="1"/>
      <c r="Q7" s="1"/>
      <c r="R7" s="1"/>
    </row>
    <row r="8" spans="1:18" ht="31">
      <c r="A8" s="1"/>
      <c r="B8" s="700" t="s">
        <v>594</v>
      </c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0"/>
    </row>
    <row r="9" spans="1:18" ht="29">
      <c r="A9" s="1"/>
      <c r="B9" s="701" t="s">
        <v>588</v>
      </c>
      <c r="C9" s="701"/>
      <c r="D9" s="701"/>
      <c r="E9" s="701"/>
      <c r="F9" s="701"/>
      <c r="G9" s="701"/>
      <c r="H9" s="701"/>
      <c r="I9" s="701"/>
      <c r="J9" s="701"/>
      <c r="K9" s="701"/>
      <c r="L9" s="701"/>
      <c r="M9" s="701"/>
      <c r="N9" s="701"/>
      <c r="O9" s="701"/>
      <c r="P9" s="701"/>
      <c r="Q9" s="701"/>
      <c r="R9" s="701"/>
    </row>
    <row r="10" spans="1:18">
      <c r="A10" s="1"/>
      <c r="B10" s="524" t="s">
        <v>1</v>
      </c>
      <c r="C10" s="524"/>
      <c r="D10" s="524"/>
      <c r="E10" s="524"/>
      <c r="F10" s="524"/>
      <c r="G10" s="524"/>
      <c r="H10" s="524"/>
      <c r="I10" s="524"/>
      <c r="J10" s="524"/>
      <c r="K10" s="524"/>
      <c r="L10" s="524"/>
      <c r="M10" s="524" t="s">
        <v>46</v>
      </c>
      <c r="N10" s="532" t="s">
        <v>589</v>
      </c>
      <c r="O10" s="532" t="s">
        <v>590</v>
      </c>
      <c r="P10" s="532" t="s">
        <v>591</v>
      </c>
      <c r="Q10" s="532" t="s">
        <v>592</v>
      </c>
      <c r="R10" s="532" t="s">
        <v>593</v>
      </c>
    </row>
    <row r="11" spans="1:18">
      <c r="B11" s="545" t="s">
        <v>98</v>
      </c>
      <c r="C11" s="2" t="s">
        <v>114</v>
      </c>
    </row>
    <row r="12" spans="1:18">
      <c r="B12" s="546"/>
      <c r="C12" s="3" t="s">
        <v>115</v>
      </c>
      <c r="N12" s="525">
        <v>2056.02</v>
      </c>
      <c r="O12" s="525">
        <v>2268.6799999999998</v>
      </c>
      <c r="P12" s="525">
        <v>2218.6799999999998</v>
      </c>
      <c r="Q12" s="525">
        <v>2358.7399999999998</v>
      </c>
      <c r="R12" s="525">
        <v>2257.89</v>
      </c>
    </row>
    <row r="13" spans="1:18">
      <c r="B13" s="546"/>
      <c r="C13" s="2" t="s">
        <v>116</v>
      </c>
      <c r="N13" s="525"/>
      <c r="O13" s="525"/>
      <c r="P13" s="525"/>
      <c r="Q13" s="525"/>
      <c r="R13" s="525"/>
    </row>
    <row r="14" spans="1:18">
      <c r="B14" s="546"/>
      <c r="C14" s="3" t="s">
        <v>117</v>
      </c>
      <c r="N14" s="525">
        <v>240.13</v>
      </c>
      <c r="O14" s="525">
        <v>252.89</v>
      </c>
      <c r="P14" s="525">
        <v>310.95999999999998</v>
      </c>
      <c r="Q14" s="525">
        <v>399.21</v>
      </c>
      <c r="R14" s="525">
        <v>445.6</v>
      </c>
    </row>
    <row r="15" spans="1:18">
      <c r="B15" s="546"/>
      <c r="C15" s="3" t="s">
        <v>118</v>
      </c>
      <c r="N15" s="525">
        <v>0.37</v>
      </c>
      <c r="O15" s="525">
        <v>0.62</v>
      </c>
      <c r="P15" s="525">
        <v>-14.41</v>
      </c>
      <c r="Q15" s="525">
        <v>1.78</v>
      </c>
      <c r="R15" s="525">
        <v>-6.67</v>
      </c>
    </row>
    <row r="16" spans="1:18">
      <c r="B16" s="546"/>
      <c r="C16" s="3" t="s">
        <v>119</v>
      </c>
      <c r="N16" s="525">
        <v>43.3</v>
      </c>
      <c r="O16" s="525">
        <v>40.020000000000003</v>
      </c>
      <c r="P16" s="525">
        <v>51.23</v>
      </c>
      <c r="Q16" s="525">
        <v>50.43</v>
      </c>
      <c r="R16" s="525">
        <v>13.5</v>
      </c>
    </row>
    <row r="17" spans="2:18">
      <c r="B17" s="546"/>
      <c r="C17" s="3" t="s">
        <v>120</v>
      </c>
      <c r="N17" s="525">
        <v>13.5</v>
      </c>
      <c r="O17" s="525">
        <v>11.5</v>
      </c>
      <c r="P17" s="525">
        <v>12</v>
      </c>
      <c r="Q17" s="525">
        <v>15</v>
      </c>
      <c r="R17" s="525">
        <v>10.5</v>
      </c>
    </row>
    <row r="18" spans="2:18">
      <c r="B18" s="546"/>
      <c r="C18" s="3" t="s">
        <v>121</v>
      </c>
      <c r="N18" s="525">
        <v>5.94</v>
      </c>
      <c r="O18" s="525">
        <v>-7.15</v>
      </c>
      <c r="P18" s="525">
        <v>0.71</v>
      </c>
      <c r="Q18" s="525">
        <v>8.14</v>
      </c>
      <c r="R18" s="525">
        <v>3.81</v>
      </c>
    </row>
    <row r="19" spans="2:18">
      <c r="B19" s="546"/>
      <c r="C19" s="3" t="s">
        <v>122</v>
      </c>
      <c r="N19" s="525">
        <v>15.77</v>
      </c>
      <c r="O19" s="525">
        <v>2.2999999999999998</v>
      </c>
      <c r="P19" s="525">
        <v>16.690000000000001</v>
      </c>
      <c r="Q19" s="525">
        <v>24.83</v>
      </c>
      <c r="R19" s="525">
        <v>3.14</v>
      </c>
    </row>
    <row r="20" spans="2:18">
      <c r="B20" s="546"/>
      <c r="C20" s="3" t="s">
        <v>586</v>
      </c>
      <c r="N20" s="525">
        <v>30.81</v>
      </c>
      <c r="O20" s="525">
        <v>38.6</v>
      </c>
      <c r="P20" s="525">
        <v>78.239999999999995</v>
      </c>
      <c r="Q20" s="525">
        <v>124.18</v>
      </c>
      <c r="R20" s="525">
        <v>163.51</v>
      </c>
    </row>
    <row r="21" spans="2:18">
      <c r="B21" s="546"/>
      <c r="C21" s="3" t="s">
        <v>123</v>
      </c>
      <c r="N21" s="525">
        <v>1.1100000000000001</v>
      </c>
      <c r="O21" s="525">
        <v>-6.25</v>
      </c>
      <c r="P21" s="525">
        <v>-4.28</v>
      </c>
      <c r="Q21" s="525">
        <v>1.01</v>
      </c>
      <c r="R21" s="525">
        <v>2.69</v>
      </c>
    </row>
    <row r="22" spans="2:18">
      <c r="B22" s="546"/>
      <c r="C22" s="3" t="s">
        <v>124</v>
      </c>
      <c r="N22" s="525">
        <v>-260.77999999999997</v>
      </c>
      <c r="O22" s="525">
        <v>-323.33999999999997</v>
      </c>
      <c r="P22" s="525">
        <v>-361.13</v>
      </c>
      <c r="Q22" s="525">
        <v>-393.1</v>
      </c>
      <c r="R22" s="525">
        <v>-408.16</v>
      </c>
    </row>
    <row r="23" spans="2:18">
      <c r="B23" s="546"/>
      <c r="C23" s="3" t="s">
        <v>125</v>
      </c>
      <c r="N23" s="525">
        <v>1.01</v>
      </c>
      <c r="O23" s="525">
        <v>1.8</v>
      </c>
      <c r="P23" s="525">
        <v>1.63</v>
      </c>
      <c r="Q23" s="525">
        <v>0.51</v>
      </c>
      <c r="R23" s="525">
        <v>-0.55000000000000004</v>
      </c>
    </row>
    <row r="24" spans="2:18">
      <c r="B24" s="546"/>
      <c r="C24" s="3" t="s">
        <v>126</v>
      </c>
      <c r="N24" s="525">
        <v>0.76</v>
      </c>
      <c r="O24" s="525">
        <v>-1.29</v>
      </c>
      <c r="P24" s="525">
        <v>1.26</v>
      </c>
      <c r="Q24" s="525">
        <v>-39.450000000000003</v>
      </c>
      <c r="R24" s="525">
        <v>-28.15</v>
      </c>
    </row>
    <row r="25" spans="2:18">
      <c r="B25" s="546"/>
      <c r="C25" s="3" t="s">
        <v>581</v>
      </c>
      <c r="N25" s="525">
        <v>-15.82</v>
      </c>
      <c r="O25" s="525">
        <v>-11.15</v>
      </c>
      <c r="P25" s="525">
        <v>-23.65</v>
      </c>
      <c r="Q25" s="525">
        <v>-18.510000000000002</v>
      </c>
      <c r="R25" s="525">
        <v>-77.95</v>
      </c>
    </row>
    <row r="26" spans="2:18">
      <c r="B26" s="546"/>
      <c r="C26" s="3" t="s">
        <v>581</v>
      </c>
      <c r="N26" s="525">
        <v>-12.26</v>
      </c>
      <c r="O26" s="525">
        <v>-5.0199999999999996</v>
      </c>
      <c r="P26" s="525"/>
      <c r="Q26" s="525"/>
      <c r="R26" s="525"/>
    </row>
    <row r="27" spans="2:18">
      <c r="B27" s="546"/>
      <c r="C27" s="3" t="s">
        <v>587</v>
      </c>
      <c r="N27" s="525">
        <v>-0.42</v>
      </c>
      <c r="O27" s="525"/>
      <c r="P27" s="525"/>
      <c r="Q27" s="525"/>
      <c r="R27" s="525"/>
    </row>
    <row r="28" spans="2:18">
      <c r="B28" s="546"/>
      <c r="C28" s="3" t="s">
        <v>127</v>
      </c>
      <c r="N28" s="525">
        <v>-71.81</v>
      </c>
      <c r="O28" s="525">
        <v>-60.5</v>
      </c>
      <c r="P28" s="525">
        <v>-144.97999999999999</v>
      </c>
      <c r="Q28" s="525">
        <v>-126.52</v>
      </c>
      <c r="R28" s="525">
        <v>23.1</v>
      </c>
    </row>
    <row r="29" spans="2:18">
      <c r="B29" s="546"/>
      <c r="C29" s="3" t="s">
        <v>582</v>
      </c>
      <c r="N29" s="525"/>
      <c r="O29" s="525">
        <v>85</v>
      </c>
      <c r="P29" s="525"/>
      <c r="Q29" s="525"/>
      <c r="R29" s="525"/>
    </row>
    <row r="30" spans="2:18" ht="28" thickBot="1">
      <c r="B30" s="546"/>
      <c r="C30" s="539" t="s">
        <v>128</v>
      </c>
      <c r="D30" s="543"/>
      <c r="E30" s="543"/>
      <c r="F30" s="543"/>
      <c r="G30" s="543"/>
      <c r="H30" s="543"/>
      <c r="I30" s="543"/>
      <c r="J30" s="543"/>
      <c r="K30" s="543"/>
      <c r="L30" s="543"/>
      <c r="M30" s="543"/>
      <c r="N30" s="542">
        <f>SUM(N12:N29)</f>
        <v>2047.63</v>
      </c>
      <c r="O30" s="542">
        <f>SUM(O12:O29)</f>
        <v>2286.7099999999996</v>
      </c>
      <c r="P30" s="542">
        <f>SUM(P12:P28)</f>
        <v>2142.9499999999998</v>
      </c>
      <c r="Q30" s="542">
        <f t="shared" ref="Q30:R30" si="0">SUM(Q12:Q28)</f>
        <v>2406.25</v>
      </c>
      <c r="R30" s="542">
        <f t="shared" si="0"/>
        <v>2402.2599999999998</v>
      </c>
    </row>
    <row r="31" spans="2:18">
      <c r="B31" s="546"/>
      <c r="C31" s="2" t="s">
        <v>129</v>
      </c>
      <c r="N31" s="525"/>
      <c r="O31" s="525"/>
      <c r="P31" s="525"/>
      <c r="Q31" s="525"/>
      <c r="R31" s="525"/>
    </row>
    <row r="32" spans="2:18">
      <c r="B32" s="546"/>
      <c r="C32" s="3" t="s">
        <v>130</v>
      </c>
      <c r="N32" s="525">
        <v>-354.71</v>
      </c>
      <c r="O32" s="525">
        <v>-177.1</v>
      </c>
      <c r="P32" s="525">
        <v>-96.02</v>
      </c>
      <c r="Q32" s="525">
        <v>77.239999999999995</v>
      </c>
      <c r="R32" s="525">
        <v>-353.14</v>
      </c>
    </row>
    <row r="33" spans="2:18">
      <c r="B33" s="546"/>
      <c r="C33" s="3" t="s">
        <v>131</v>
      </c>
      <c r="N33" s="525">
        <v>247.79</v>
      </c>
      <c r="O33" s="525">
        <v>-78.37</v>
      </c>
      <c r="P33" s="525">
        <v>-190.79</v>
      </c>
      <c r="Q33" s="525">
        <v>-55.34</v>
      </c>
      <c r="R33" s="525">
        <v>12.22</v>
      </c>
    </row>
    <row r="34" spans="2:18">
      <c r="B34" s="546"/>
      <c r="C34" s="3" t="s">
        <v>132</v>
      </c>
      <c r="N34" s="525">
        <v>0.44</v>
      </c>
      <c r="O34" s="525">
        <v>-18.489999999999998</v>
      </c>
      <c r="P34" s="525">
        <v>19.32</v>
      </c>
      <c r="Q34" s="525">
        <v>-4.92</v>
      </c>
      <c r="R34" s="525">
        <v>1.46</v>
      </c>
    </row>
    <row r="35" spans="2:18">
      <c r="B35" s="546"/>
      <c r="C35" s="3" t="s">
        <v>133</v>
      </c>
      <c r="N35" s="525">
        <v>79.83</v>
      </c>
      <c r="O35" s="525">
        <v>88.48</v>
      </c>
      <c r="P35" s="525">
        <v>17.39</v>
      </c>
      <c r="Q35" s="525">
        <v>-203.77</v>
      </c>
      <c r="R35" s="525">
        <v>-208.86</v>
      </c>
    </row>
    <row r="36" spans="2:18">
      <c r="B36" s="546"/>
      <c r="C36" s="3" t="s">
        <v>134</v>
      </c>
      <c r="N36" s="525">
        <v>433.78</v>
      </c>
      <c r="O36" s="525">
        <v>108.01</v>
      </c>
      <c r="P36" s="525">
        <v>141.30000000000001</v>
      </c>
      <c r="Q36" s="525">
        <v>216.57</v>
      </c>
      <c r="R36" s="525">
        <v>407.18</v>
      </c>
    </row>
    <row r="37" spans="2:18">
      <c r="B37" s="546"/>
      <c r="C37" s="3" t="s">
        <v>135</v>
      </c>
      <c r="N37" s="525">
        <v>62.5</v>
      </c>
      <c r="O37" s="525">
        <v>47.71</v>
      </c>
      <c r="P37" s="525">
        <v>43.11</v>
      </c>
      <c r="Q37" s="525">
        <v>26.19</v>
      </c>
      <c r="R37" s="525">
        <v>97.74</v>
      </c>
    </row>
    <row r="38" spans="2:18">
      <c r="B38" s="546"/>
      <c r="C38" s="3" t="s">
        <v>136</v>
      </c>
      <c r="N38" s="525">
        <v>-81.27</v>
      </c>
      <c r="O38" s="525">
        <v>-67.02</v>
      </c>
      <c r="P38" s="525">
        <v>-94.38</v>
      </c>
      <c r="Q38" s="525">
        <v>45.17</v>
      </c>
      <c r="R38" s="525">
        <v>32.43</v>
      </c>
    </row>
    <row r="39" spans="2:18">
      <c r="B39" s="546"/>
      <c r="C39" s="2" t="s">
        <v>137</v>
      </c>
      <c r="N39" s="526">
        <f>SUM(N30:N38)</f>
        <v>2435.9900000000002</v>
      </c>
      <c r="O39" s="526">
        <f>SUM(O30:O38)</f>
        <v>2189.9299999999998</v>
      </c>
      <c r="P39" s="526">
        <f>SUM(P30:P38)</f>
        <v>1982.8799999999997</v>
      </c>
      <c r="Q39" s="526">
        <f t="shared" ref="Q39:R39" si="1">SUM(Q30:Q38)</f>
        <v>2507.39</v>
      </c>
      <c r="R39" s="526">
        <f t="shared" si="1"/>
        <v>2391.2899999999991</v>
      </c>
    </row>
    <row r="40" spans="2:18">
      <c r="B40" s="546"/>
      <c r="C40" s="3" t="s">
        <v>138</v>
      </c>
      <c r="N40" s="525">
        <v>-321.32</v>
      </c>
      <c r="O40" s="525">
        <v>-387.6</v>
      </c>
      <c r="P40" s="525">
        <v>-494.45</v>
      </c>
      <c r="Q40" s="525">
        <v>-493.92</v>
      </c>
      <c r="R40" s="525">
        <v>-404.54</v>
      </c>
    </row>
    <row r="41" spans="2:18" ht="28" thickBot="1">
      <c r="B41" s="546"/>
      <c r="C41" s="539" t="s">
        <v>139</v>
      </c>
      <c r="D41" s="543"/>
      <c r="E41" s="543"/>
      <c r="F41" s="543"/>
      <c r="G41" s="543"/>
      <c r="H41" s="543"/>
      <c r="I41" s="543"/>
      <c r="J41" s="543"/>
      <c r="K41" s="543"/>
      <c r="L41" s="543"/>
      <c r="M41" s="543"/>
      <c r="N41" s="542">
        <f>SUM(N39:N40)</f>
        <v>2114.67</v>
      </c>
      <c r="O41" s="542">
        <f>SUM(O39:O40)</f>
        <v>1802.33</v>
      </c>
      <c r="P41" s="542">
        <f>SUM(P39:P40)</f>
        <v>1488.4299999999996</v>
      </c>
      <c r="Q41" s="542">
        <f>Q39+Q40</f>
        <v>2013.4699999999998</v>
      </c>
      <c r="R41" s="542">
        <f>R39+R40</f>
        <v>1986.7499999999991</v>
      </c>
    </row>
    <row r="42" spans="2:18">
      <c r="B42" s="546"/>
      <c r="N42" s="525"/>
      <c r="O42" s="525"/>
      <c r="P42" s="525"/>
      <c r="Q42" s="525"/>
      <c r="R42" s="525"/>
    </row>
    <row r="43" spans="2:18">
      <c r="B43" s="545" t="s">
        <v>99</v>
      </c>
      <c r="C43" s="2" t="s">
        <v>140</v>
      </c>
      <c r="N43" s="525"/>
      <c r="O43" s="525"/>
      <c r="P43" s="525"/>
      <c r="Q43" s="525"/>
      <c r="R43" s="525"/>
    </row>
    <row r="44" spans="2:18">
      <c r="B44" s="546"/>
      <c r="C44" s="3" t="s">
        <v>141</v>
      </c>
      <c r="N44" s="525">
        <v>-311.20999999999998</v>
      </c>
      <c r="O44" s="525">
        <v>-374.13</v>
      </c>
      <c r="P44" s="525">
        <v>-509.09</v>
      </c>
      <c r="Q44" s="525">
        <v>-563.86</v>
      </c>
      <c r="R44" s="525">
        <v>-569.54</v>
      </c>
    </row>
    <row r="45" spans="2:18">
      <c r="B45" s="546"/>
      <c r="C45" s="3" t="s">
        <v>142</v>
      </c>
      <c r="N45" s="525">
        <v>4.88</v>
      </c>
      <c r="O45" s="525">
        <v>4.93</v>
      </c>
      <c r="P45" s="525">
        <v>23.38</v>
      </c>
      <c r="Q45" s="525">
        <v>2.98</v>
      </c>
      <c r="R45" s="525">
        <v>30.43</v>
      </c>
    </row>
    <row r="46" spans="2:18">
      <c r="B46" s="546"/>
      <c r="C46" s="3" t="s">
        <v>584</v>
      </c>
      <c r="N46" s="525"/>
      <c r="O46" s="525"/>
      <c r="P46" s="525">
        <v>-481.32</v>
      </c>
      <c r="Q46" s="525"/>
      <c r="R46" s="525"/>
    </row>
    <row r="47" spans="2:18">
      <c r="B47" s="546"/>
      <c r="C47" s="3" t="s">
        <v>583</v>
      </c>
      <c r="N47" s="525">
        <v>-7634.78</v>
      </c>
      <c r="O47" s="525">
        <v>-7506.66</v>
      </c>
      <c r="P47" s="525">
        <v>-4177.43</v>
      </c>
      <c r="Q47" s="525">
        <v>-5142.12</v>
      </c>
      <c r="R47" s="525">
        <v>-6188.4</v>
      </c>
    </row>
    <row r="48" spans="2:18">
      <c r="B48" s="546"/>
      <c r="C48" s="3" t="s">
        <v>143</v>
      </c>
      <c r="N48" s="525">
        <v>6273.72</v>
      </c>
      <c r="O48" s="525">
        <v>6233.61</v>
      </c>
      <c r="P48" s="525">
        <v>4163.7299999999996</v>
      </c>
      <c r="Q48" s="525">
        <v>4344.3100000000004</v>
      </c>
      <c r="R48" s="525">
        <v>5873.12</v>
      </c>
    </row>
    <row r="49" spans="2:18">
      <c r="B49" s="546"/>
      <c r="C49" s="3" t="s">
        <v>144</v>
      </c>
      <c r="N49" s="525">
        <v>261.61</v>
      </c>
      <c r="O49" s="525">
        <v>366.8</v>
      </c>
      <c r="P49" s="525">
        <v>394.19</v>
      </c>
      <c r="Q49" s="525">
        <v>386.95</v>
      </c>
      <c r="R49" s="525">
        <v>399.28</v>
      </c>
    </row>
    <row r="50" spans="2:18" ht="28" thickBot="1">
      <c r="B50" s="546"/>
      <c r="C50" s="539" t="s">
        <v>145</v>
      </c>
      <c r="D50" s="543"/>
      <c r="E50" s="543"/>
      <c r="F50" s="543"/>
      <c r="G50" s="543"/>
      <c r="H50" s="543"/>
      <c r="I50" s="543"/>
      <c r="J50" s="543"/>
      <c r="K50" s="543"/>
      <c r="L50" s="543"/>
      <c r="M50" s="543"/>
      <c r="N50" s="542">
        <f>SUM(N44:N49)</f>
        <v>-1405.7799999999993</v>
      </c>
      <c r="O50" s="542">
        <f>SUM(O44:O49)</f>
        <v>-1275.45</v>
      </c>
      <c r="P50" s="542">
        <f>SUM(P44:P49)</f>
        <v>-586.54000000000042</v>
      </c>
      <c r="Q50" s="542">
        <f>SUM(Q44:Q49)</f>
        <v>-971.73999999999955</v>
      </c>
      <c r="R50" s="542">
        <f>SUM(R44:R49)</f>
        <v>-455.10999999999945</v>
      </c>
    </row>
    <row r="51" spans="2:18">
      <c r="B51" s="546"/>
      <c r="N51" s="525"/>
      <c r="O51" s="525"/>
      <c r="P51" s="525"/>
      <c r="Q51" s="525"/>
      <c r="R51" s="525"/>
    </row>
    <row r="52" spans="2:18">
      <c r="B52" s="545" t="s">
        <v>146</v>
      </c>
      <c r="C52" s="2" t="s">
        <v>147</v>
      </c>
      <c r="N52" s="525"/>
      <c r="O52" s="525"/>
      <c r="P52" s="525"/>
      <c r="Q52" s="525"/>
      <c r="R52" s="525"/>
    </row>
    <row r="53" spans="2:18">
      <c r="B53" s="547"/>
      <c r="C53" s="3" t="s">
        <v>148</v>
      </c>
      <c r="N53" s="525">
        <v>0.03</v>
      </c>
      <c r="O53" s="525">
        <v>0.05</v>
      </c>
      <c r="P53" s="525">
        <v>0.39</v>
      </c>
      <c r="Q53" s="525">
        <v>0.03</v>
      </c>
      <c r="R53" s="525">
        <v>0.03</v>
      </c>
    </row>
    <row r="54" spans="2:18">
      <c r="B54" s="547"/>
      <c r="C54" s="3" t="s">
        <v>149</v>
      </c>
      <c r="N54" s="525">
        <v>-27.77</v>
      </c>
      <c r="O54" s="525">
        <v>248.95</v>
      </c>
      <c r="P54" s="525">
        <v>-1.26</v>
      </c>
      <c r="Q54" s="525">
        <v>-11.85</v>
      </c>
      <c r="R54" s="525">
        <v>-261.86</v>
      </c>
    </row>
    <row r="55" spans="2:18">
      <c r="B55" s="547"/>
      <c r="C55" s="3" t="s">
        <v>150</v>
      </c>
      <c r="N55" s="525"/>
      <c r="O55" s="525"/>
      <c r="P55" s="525"/>
      <c r="Q55" s="525">
        <v>248.86</v>
      </c>
      <c r="R55" s="525">
        <v>29.92</v>
      </c>
    </row>
    <row r="56" spans="2:18">
      <c r="B56" s="547"/>
      <c r="C56" s="3" t="s">
        <v>151</v>
      </c>
      <c r="N56" s="525"/>
      <c r="O56" s="525"/>
      <c r="P56" s="525">
        <v>50.05</v>
      </c>
      <c r="Q56" s="525">
        <v>-666.42</v>
      </c>
      <c r="R56" s="525">
        <v>-593.15</v>
      </c>
    </row>
    <row r="57" spans="2:18">
      <c r="B57" s="547"/>
      <c r="C57" s="3" t="s">
        <v>152</v>
      </c>
      <c r="N57" s="525">
        <v>64.650000000000006</v>
      </c>
      <c r="O57" s="525">
        <v>291.85000000000002</v>
      </c>
      <c r="P57" s="525">
        <v>-25.47</v>
      </c>
      <c r="Q57" s="525">
        <v>382.23</v>
      </c>
      <c r="R57" s="525">
        <v>608.26</v>
      </c>
    </row>
    <row r="58" spans="2:18">
      <c r="B58" s="547"/>
      <c r="C58" s="3" t="s">
        <v>153</v>
      </c>
      <c r="N58" s="525">
        <v>-27.61</v>
      </c>
      <c r="O58" s="525">
        <v>-25.61</v>
      </c>
      <c r="P58" s="525">
        <v>-10.63</v>
      </c>
      <c r="Q58" s="525">
        <v>-28.94</v>
      </c>
      <c r="R58" s="525">
        <v>-33.909999999999997</v>
      </c>
    </row>
    <row r="59" spans="2:18">
      <c r="B59" s="547"/>
      <c r="C59" s="3" t="s">
        <v>154</v>
      </c>
      <c r="N59" s="525">
        <v>-11.27</v>
      </c>
      <c r="O59" s="525">
        <v>-11.56</v>
      </c>
      <c r="P59" s="525">
        <v>-49.1</v>
      </c>
      <c r="Q59" s="525">
        <v>-12.65</v>
      </c>
      <c r="R59" s="525">
        <v>-15.08</v>
      </c>
    </row>
    <row r="60" spans="2:18">
      <c r="B60" s="547"/>
      <c r="C60" s="3" t="s">
        <v>155</v>
      </c>
      <c r="N60" s="525">
        <v>-592.09</v>
      </c>
      <c r="O60" s="525">
        <v>-972.32</v>
      </c>
      <c r="P60" s="525">
        <v>-921.31</v>
      </c>
      <c r="Q60" s="525">
        <v>-965.76</v>
      </c>
      <c r="R60" s="525">
        <v>-974.78</v>
      </c>
    </row>
    <row r="61" spans="2:18">
      <c r="B61" s="547"/>
      <c r="C61" s="3" t="s">
        <v>156</v>
      </c>
      <c r="N61" s="525">
        <v>-19.350000000000001</v>
      </c>
      <c r="O61" s="525">
        <v>-21.85</v>
      </c>
      <c r="P61" s="525">
        <v>-77.900000000000006</v>
      </c>
      <c r="Q61" s="525">
        <v>-106.68</v>
      </c>
      <c r="R61" s="525">
        <v>-164.77</v>
      </c>
    </row>
    <row r="62" spans="2:18" ht="28" thickBot="1">
      <c r="B62" s="547"/>
      <c r="C62" s="539" t="s">
        <v>157</v>
      </c>
      <c r="D62" s="543"/>
      <c r="E62" s="543"/>
      <c r="F62" s="543"/>
      <c r="G62" s="543"/>
      <c r="H62" s="543"/>
      <c r="I62" s="543"/>
      <c r="J62" s="543"/>
      <c r="K62" s="543"/>
      <c r="L62" s="543"/>
      <c r="M62" s="543"/>
      <c r="N62" s="542">
        <f>SUM(N53:N61)</f>
        <v>-613.41000000000008</v>
      </c>
      <c r="O62" s="542">
        <f>SUM(O53:O61)</f>
        <v>-490.49000000000007</v>
      </c>
      <c r="P62" s="542">
        <f>SUM(P53:P61)</f>
        <v>-1035.23</v>
      </c>
      <c r="Q62" s="542">
        <f t="shared" ref="Q62:R62" si="2">SUM(Q53:Q61)</f>
        <v>-1161.18</v>
      </c>
      <c r="R62" s="542">
        <f t="shared" si="2"/>
        <v>-1405.34</v>
      </c>
    </row>
    <row r="63" spans="2:18">
      <c r="B63" s="547"/>
      <c r="N63" s="525"/>
      <c r="O63" s="525"/>
      <c r="P63" s="525"/>
      <c r="Q63" s="525"/>
      <c r="R63" s="525"/>
    </row>
    <row r="64" spans="2:18">
      <c r="B64" s="547"/>
      <c r="C64" s="3" t="s">
        <v>158</v>
      </c>
      <c r="N64" s="525">
        <f>N62+N50+N41</f>
        <v>95.4800000000007</v>
      </c>
      <c r="O64" s="525">
        <f>O62+O50+O41</f>
        <v>36.389999999999873</v>
      </c>
      <c r="P64" s="525">
        <f>P62+P50+P41</f>
        <v>-133.34000000000083</v>
      </c>
      <c r="Q64" s="525">
        <f>Q62+Q50+Q41</f>
        <v>-119.44999999999982</v>
      </c>
      <c r="R64" s="525">
        <f>R62+R50+R41</f>
        <v>126.29999999999973</v>
      </c>
    </row>
    <row r="65" spans="2:18">
      <c r="B65" s="547"/>
      <c r="C65" s="3" t="s">
        <v>159</v>
      </c>
      <c r="N65" s="525">
        <v>91.74</v>
      </c>
      <c r="O65" s="525">
        <v>188.78</v>
      </c>
      <c r="P65" s="525">
        <v>227.17</v>
      </c>
      <c r="Q65" s="525">
        <v>97.57</v>
      </c>
      <c r="R65" s="525">
        <v>-21.18</v>
      </c>
    </row>
    <row r="66" spans="2:18">
      <c r="B66" s="547"/>
      <c r="C66" s="3" t="s">
        <v>585</v>
      </c>
      <c r="N66" s="525"/>
      <c r="O66" s="525"/>
      <c r="P66" s="525">
        <v>1.41</v>
      </c>
      <c r="Q66" s="525"/>
      <c r="R66" s="525"/>
    </row>
    <row r="67" spans="2:18">
      <c r="B67" s="547"/>
      <c r="C67" s="3" t="s">
        <v>160</v>
      </c>
      <c r="N67" s="525">
        <v>1.56</v>
      </c>
      <c r="O67" s="525">
        <v>2</v>
      </c>
      <c r="P67" s="525">
        <v>2.34</v>
      </c>
      <c r="Q67" s="525">
        <v>0.7</v>
      </c>
      <c r="R67" s="525">
        <v>0.85</v>
      </c>
    </row>
    <row r="68" spans="2:18" ht="28" thickBot="1">
      <c r="B68" s="547"/>
      <c r="C68" s="539" t="s">
        <v>161</v>
      </c>
      <c r="D68" s="543"/>
      <c r="E68" s="543"/>
      <c r="F68" s="543"/>
      <c r="G68" s="543"/>
      <c r="H68" s="543"/>
      <c r="I68" s="543"/>
      <c r="J68" s="543"/>
      <c r="K68" s="543"/>
      <c r="L68" s="543"/>
      <c r="M68" s="543"/>
      <c r="N68" s="542">
        <v>188.78</v>
      </c>
      <c r="O68" s="542">
        <v>227.17</v>
      </c>
      <c r="P68" s="542">
        <v>97.57</v>
      </c>
      <c r="Q68" s="542">
        <v>-2118</v>
      </c>
      <c r="R68" s="542">
        <v>111.97</v>
      </c>
    </row>
    <row r="69" spans="2:18">
      <c r="B69" s="547"/>
      <c r="C69" s="3" t="s">
        <v>162</v>
      </c>
      <c r="N69" s="525"/>
      <c r="O69" s="525"/>
      <c r="P69" s="525"/>
      <c r="Q69" s="525"/>
      <c r="R69" s="525"/>
    </row>
    <row r="70" spans="2:18">
      <c r="B70" s="547"/>
      <c r="C70" s="2" t="s">
        <v>163</v>
      </c>
      <c r="N70" s="526">
        <v>241.23</v>
      </c>
      <c r="O70" s="526">
        <v>255.91</v>
      </c>
      <c r="P70" s="526">
        <v>146.82</v>
      </c>
      <c r="Q70" s="526">
        <v>247.6</v>
      </c>
      <c r="R70" s="526">
        <v>184.27</v>
      </c>
    </row>
    <row r="71" spans="2:18">
      <c r="B71" s="547"/>
      <c r="C71" s="3" t="s">
        <v>165</v>
      </c>
      <c r="N71" s="525">
        <v>-36.729999999999997</v>
      </c>
      <c r="O71" s="525">
        <v>-25.5</v>
      </c>
      <c r="P71" s="525">
        <v>-49.25</v>
      </c>
      <c r="Q71" s="525">
        <v>-268.77999999999997</v>
      </c>
      <c r="R71" s="525">
        <v>-71.92</v>
      </c>
    </row>
    <row r="72" spans="2:18">
      <c r="B72" s="547"/>
      <c r="C72" s="3" t="s">
        <v>164</v>
      </c>
      <c r="N72" s="525">
        <v>-15.72</v>
      </c>
      <c r="O72" s="525">
        <v>-3.24</v>
      </c>
      <c r="P72" s="525"/>
      <c r="Q72" s="525"/>
      <c r="R72" s="525">
        <v>-0.38</v>
      </c>
    </row>
    <row r="73" spans="2:18" ht="28" thickBot="1">
      <c r="B73" s="548"/>
      <c r="C73" s="539" t="s">
        <v>166</v>
      </c>
      <c r="D73" s="543"/>
      <c r="E73" s="543"/>
      <c r="F73" s="543"/>
      <c r="G73" s="543"/>
      <c r="H73" s="543"/>
      <c r="I73" s="543"/>
      <c r="J73" s="543"/>
      <c r="K73" s="543"/>
      <c r="L73" s="543"/>
      <c r="M73" s="543"/>
      <c r="N73" s="542">
        <v>188.78</v>
      </c>
      <c r="O73" s="542">
        <v>227.17</v>
      </c>
      <c r="P73" s="542">
        <v>97.57</v>
      </c>
      <c r="Q73" s="542">
        <v>-21.18</v>
      </c>
      <c r="R73" s="542">
        <v>111.97</v>
      </c>
    </row>
  </sheetData>
  <mergeCells count="2">
    <mergeCell ref="B8:R8"/>
    <mergeCell ref="B9:R9"/>
  </mergeCells>
  <pageMargins left="0.7" right="0.7" top="0.75" bottom="0.75" header="0.3" footer="0.3"/>
  <pageSetup paperSize="9" orientation="portrait" horizontalDpi="0" verticalDpi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E2F01-39A5-774F-86B9-D6A56FAD2F2D}">
  <sheetPr codeName="Sheet4">
    <tabColor rgb="FFFFFF00"/>
  </sheetPr>
  <dimension ref="A1:S33"/>
  <sheetViews>
    <sheetView zoomScale="50" workbookViewId="0">
      <selection activeCell="L1" sqref="L1"/>
    </sheetView>
  </sheetViews>
  <sheetFormatPr baseColWidth="10" defaultRowHeight="25"/>
  <cols>
    <col min="1" max="1" width="10.83203125" style="5"/>
    <col min="2" max="2" width="36.1640625" style="5" customWidth="1"/>
    <col min="3" max="3" width="50.1640625" style="5" customWidth="1"/>
    <col min="4" max="5" width="10.83203125" style="5"/>
    <col min="6" max="6" width="14.83203125" style="5" customWidth="1"/>
    <col min="7" max="8" width="16.1640625" style="5" customWidth="1"/>
    <col min="9" max="9" width="11.5" style="5" bestFit="1" customWidth="1"/>
    <col min="10" max="10" width="17.5" style="5" customWidth="1"/>
    <col min="11" max="11" width="22" style="5" customWidth="1"/>
    <col min="12" max="12" width="13.5" style="5" customWidth="1"/>
    <col min="13" max="13" width="19.83203125" style="5" customWidth="1"/>
    <col min="14" max="14" width="30.6640625" style="6" bestFit="1" customWidth="1"/>
    <col min="15" max="15" width="19.6640625" style="5" customWidth="1"/>
    <col min="16" max="16" width="22.33203125" style="5" customWidth="1"/>
    <col min="17" max="17" width="24.1640625" style="5" customWidth="1"/>
    <col min="18" max="18" width="22.33203125" style="5" customWidth="1"/>
    <col min="19" max="16384" width="10.83203125" style="5"/>
  </cols>
  <sheetData>
    <row r="1" spans="2:19" ht="26" thickBot="1"/>
    <row r="2" spans="2:19" ht="31">
      <c r="B2" s="7" t="s">
        <v>167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9"/>
      <c r="O2" s="8"/>
      <c r="P2" s="8"/>
      <c r="Q2" s="10"/>
    </row>
    <row r="3" spans="2:19" ht="26" thickBot="1">
      <c r="B3" s="11" t="s">
        <v>113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3"/>
      <c r="O3" s="12"/>
      <c r="P3" s="12"/>
      <c r="Q3" s="14"/>
    </row>
    <row r="4" spans="2:19">
      <c r="B4" s="15" t="s">
        <v>98</v>
      </c>
      <c r="C4" s="15" t="s">
        <v>168</v>
      </c>
    </row>
    <row r="5" spans="2:19">
      <c r="B5" s="16" t="s">
        <v>1</v>
      </c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7" t="s">
        <v>169</v>
      </c>
      <c r="O5" s="16"/>
      <c r="P5" s="16" t="s">
        <v>170</v>
      </c>
      <c r="Q5" s="16"/>
    </row>
    <row r="6" spans="2:19">
      <c r="B6" s="15" t="s">
        <v>171</v>
      </c>
      <c r="N6" s="18">
        <v>1771763464</v>
      </c>
      <c r="O6" s="15"/>
      <c r="P6" s="15">
        <v>177.18</v>
      </c>
    </row>
    <row r="7" spans="2:19">
      <c r="B7" s="5" t="s">
        <v>172</v>
      </c>
      <c r="N7" s="6">
        <v>275698</v>
      </c>
      <c r="P7" s="5">
        <v>0.03</v>
      </c>
    </row>
    <row r="8" spans="2:19">
      <c r="B8" s="15" t="s">
        <v>173</v>
      </c>
      <c r="N8" s="18">
        <v>1772039162</v>
      </c>
      <c r="O8" s="15"/>
      <c r="P8" s="15">
        <v>177.2</v>
      </c>
    </row>
    <row r="10" spans="2:19">
      <c r="B10" s="15" t="s">
        <v>174</v>
      </c>
      <c r="N10" s="18">
        <v>1772039162</v>
      </c>
      <c r="O10" s="15"/>
      <c r="P10" s="15">
        <v>177.2</v>
      </c>
    </row>
    <row r="11" spans="2:19">
      <c r="B11" s="5" t="s">
        <v>172</v>
      </c>
      <c r="N11" s="6">
        <v>279090</v>
      </c>
      <c r="P11" s="5">
        <v>0.03</v>
      </c>
    </row>
    <row r="12" spans="2:19">
      <c r="B12" s="15" t="s">
        <v>175</v>
      </c>
      <c r="N12" s="18">
        <v>1772318252</v>
      </c>
      <c r="O12" s="15"/>
      <c r="P12" s="15">
        <v>177.23</v>
      </c>
    </row>
    <row r="13" spans="2:19">
      <c r="B13" s="5" t="s">
        <v>176</v>
      </c>
    </row>
    <row r="14" spans="2:19">
      <c r="B14" s="15" t="s">
        <v>177</v>
      </c>
      <c r="C14" s="15" t="s">
        <v>178</v>
      </c>
    </row>
    <row r="15" spans="2:19">
      <c r="B15" s="21" t="s">
        <v>1</v>
      </c>
      <c r="C15" s="21"/>
      <c r="D15" s="21"/>
      <c r="E15" s="21"/>
      <c r="F15" s="22"/>
      <c r="G15" s="22"/>
      <c r="H15" s="22"/>
      <c r="I15" s="22"/>
      <c r="J15" s="22"/>
      <c r="K15" s="22" t="s">
        <v>179</v>
      </c>
      <c r="L15" s="22"/>
      <c r="M15" s="22"/>
      <c r="N15" s="23"/>
      <c r="O15" s="22"/>
      <c r="P15" s="22"/>
      <c r="Q15" s="21" t="s">
        <v>196</v>
      </c>
      <c r="R15" s="21" t="s">
        <v>200</v>
      </c>
      <c r="S15" s="21" t="s">
        <v>204</v>
      </c>
    </row>
    <row r="16" spans="2:19">
      <c r="B16" s="21"/>
      <c r="C16" s="21"/>
      <c r="D16" s="21"/>
      <c r="E16" s="21"/>
      <c r="F16" s="21"/>
      <c r="G16" s="21"/>
      <c r="H16" s="21"/>
      <c r="I16" s="21"/>
      <c r="J16" s="21"/>
      <c r="K16" s="21" t="s">
        <v>180</v>
      </c>
      <c r="L16" s="21"/>
      <c r="M16" s="21"/>
      <c r="N16" s="24"/>
      <c r="O16" s="21" t="s">
        <v>194</v>
      </c>
      <c r="P16" s="21"/>
      <c r="Q16" s="21" t="s">
        <v>197</v>
      </c>
      <c r="R16" s="21" t="s">
        <v>201</v>
      </c>
      <c r="S16" s="21"/>
    </row>
    <row r="17" spans="1:19">
      <c r="B17" s="21"/>
      <c r="C17" s="21"/>
      <c r="D17" s="21"/>
      <c r="E17" s="21"/>
      <c r="F17" s="22"/>
      <c r="G17" s="22"/>
      <c r="H17" s="22"/>
      <c r="I17" s="22"/>
      <c r="J17" s="22"/>
      <c r="K17" s="22"/>
      <c r="L17" s="22"/>
      <c r="M17" s="22"/>
      <c r="N17" s="23"/>
      <c r="O17" s="22" t="s">
        <v>195</v>
      </c>
      <c r="P17" s="22"/>
      <c r="Q17" s="21" t="s">
        <v>198</v>
      </c>
      <c r="R17" s="21" t="s">
        <v>202</v>
      </c>
      <c r="S17" s="21"/>
    </row>
    <row r="18" spans="1:19" ht="104">
      <c r="B18" s="21"/>
      <c r="C18" s="21"/>
      <c r="D18" s="21"/>
      <c r="E18" s="21"/>
      <c r="F18" s="25" t="s">
        <v>181</v>
      </c>
      <c r="G18" s="25" t="s">
        <v>182</v>
      </c>
      <c r="H18" s="25" t="s">
        <v>183</v>
      </c>
      <c r="I18" s="25" t="s">
        <v>184</v>
      </c>
      <c r="J18" s="25" t="s">
        <v>185</v>
      </c>
      <c r="K18" s="25" t="s">
        <v>186</v>
      </c>
      <c r="L18" s="25" t="s">
        <v>187</v>
      </c>
      <c r="M18" s="25" t="s">
        <v>188</v>
      </c>
      <c r="N18" s="26" t="s">
        <v>189</v>
      </c>
      <c r="O18" s="25" t="s">
        <v>191</v>
      </c>
      <c r="P18" s="25" t="s">
        <v>190</v>
      </c>
      <c r="Q18" s="25" t="s">
        <v>199</v>
      </c>
      <c r="R18" s="25" t="s">
        <v>203</v>
      </c>
      <c r="S18" s="25"/>
    </row>
    <row r="20" spans="1:19" s="15" customFormat="1">
      <c r="A20" s="5"/>
      <c r="B20" s="27" t="s">
        <v>171</v>
      </c>
      <c r="C20" s="27"/>
      <c r="D20" s="27"/>
      <c r="E20" s="27"/>
      <c r="F20" s="36">
        <v>26.92</v>
      </c>
      <c r="G20" s="27">
        <v>520.95000000000005</v>
      </c>
      <c r="H20" s="27">
        <v>14.66</v>
      </c>
      <c r="I20" s="27">
        <v>3.14</v>
      </c>
      <c r="J20" s="27">
        <v>17.97</v>
      </c>
      <c r="K20" s="27">
        <v>59.08</v>
      </c>
      <c r="L20" s="27">
        <v>513.42999999999995</v>
      </c>
      <c r="M20" s="27"/>
      <c r="N20" s="28">
        <v>8125.33</v>
      </c>
      <c r="O20" s="27">
        <v>-373.49</v>
      </c>
      <c r="P20" s="27">
        <v>-111.91</v>
      </c>
      <c r="Q20" s="27">
        <v>8796.08</v>
      </c>
      <c r="R20" s="27">
        <v>468.17</v>
      </c>
      <c r="S20" s="27">
        <v>9264.25</v>
      </c>
    </row>
    <row r="21" spans="1:19">
      <c r="B21" s="29" t="s">
        <v>192</v>
      </c>
      <c r="C21" s="29"/>
      <c r="D21" s="29"/>
      <c r="E21" s="29"/>
      <c r="F21" s="35" t="s">
        <v>216</v>
      </c>
      <c r="G21" s="30" t="s">
        <v>216</v>
      </c>
      <c r="H21" s="29"/>
      <c r="I21" s="29"/>
      <c r="J21" s="29"/>
      <c r="K21" s="29"/>
      <c r="L21" s="29"/>
      <c r="M21" s="29"/>
      <c r="N21" s="31"/>
      <c r="O21" s="29"/>
      <c r="P21" s="29"/>
      <c r="Q21" s="29"/>
      <c r="R21" s="29"/>
      <c r="S21" s="29"/>
    </row>
    <row r="22" spans="1:19" ht="52">
      <c r="B22" s="32" t="s">
        <v>193</v>
      </c>
      <c r="C22" s="32"/>
      <c r="D22" s="29"/>
      <c r="E22" s="29"/>
      <c r="F22" s="35" t="s">
        <v>216</v>
      </c>
      <c r="G22" s="29"/>
      <c r="H22" s="29"/>
      <c r="I22" s="29"/>
      <c r="J22" s="29"/>
      <c r="K22" s="29"/>
      <c r="L22" s="29"/>
      <c r="M22" s="29"/>
      <c r="N22" s="31"/>
      <c r="O22" s="29"/>
      <c r="P22" s="29"/>
      <c r="Q22" s="29"/>
      <c r="R22" s="29"/>
      <c r="S22" s="29"/>
    </row>
    <row r="23" spans="1:19" ht="78">
      <c r="B23" s="32"/>
      <c r="C23" s="32" t="s">
        <v>205</v>
      </c>
      <c r="D23" s="29"/>
      <c r="E23" s="29"/>
      <c r="F23" s="35" t="s">
        <v>216</v>
      </c>
      <c r="G23" s="29"/>
      <c r="H23" s="29"/>
      <c r="I23" s="29"/>
      <c r="J23" s="29"/>
      <c r="K23" s="29"/>
      <c r="L23" s="29"/>
      <c r="M23" s="29"/>
      <c r="N23" s="31"/>
      <c r="O23" s="29"/>
      <c r="P23" s="29"/>
      <c r="Q23" s="29"/>
      <c r="R23" s="29"/>
      <c r="S23" s="29"/>
    </row>
    <row r="24" spans="1:19" ht="78">
      <c r="B24" s="32"/>
      <c r="C24" s="32" t="s">
        <v>206</v>
      </c>
      <c r="D24" s="29"/>
      <c r="E24" s="29"/>
      <c r="F24" s="35" t="s">
        <v>216</v>
      </c>
      <c r="G24" s="29"/>
      <c r="H24" s="29"/>
      <c r="I24" s="29"/>
      <c r="J24" s="29"/>
      <c r="K24" s="29"/>
      <c r="L24" s="29"/>
      <c r="M24" s="29"/>
      <c r="N24" s="31"/>
      <c r="O24" s="29"/>
      <c r="P24" s="29"/>
      <c r="Q24" s="29"/>
      <c r="R24" s="29"/>
      <c r="S24" s="29"/>
    </row>
    <row r="25" spans="1:19" ht="52">
      <c r="B25" s="32"/>
      <c r="C25" s="32" t="s">
        <v>207</v>
      </c>
      <c r="D25" s="29"/>
      <c r="E25" s="29"/>
      <c r="F25" s="35" t="s">
        <v>216</v>
      </c>
      <c r="G25" s="29"/>
      <c r="H25" s="29"/>
      <c r="I25" s="29"/>
      <c r="J25" s="29"/>
      <c r="K25" s="29"/>
      <c r="L25" s="29"/>
      <c r="M25" s="29"/>
      <c r="N25" s="31"/>
      <c r="O25" s="29"/>
      <c r="P25" s="29"/>
      <c r="Q25" s="29"/>
      <c r="R25" s="29"/>
      <c r="S25" s="29"/>
    </row>
    <row r="26" spans="1:19" ht="52">
      <c r="B26" s="32" t="s">
        <v>208</v>
      </c>
      <c r="C26" s="32"/>
      <c r="D26" s="29"/>
      <c r="E26" s="29"/>
      <c r="F26" s="35" t="s">
        <v>216</v>
      </c>
      <c r="G26" s="29"/>
      <c r="H26" s="29"/>
      <c r="I26" s="29"/>
      <c r="J26" s="29"/>
      <c r="K26" s="29"/>
      <c r="L26" s="29"/>
      <c r="M26" s="29"/>
      <c r="N26" s="31"/>
      <c r="O26" s="29"/>
      <c r="P26" s="29"/>
      <c r="Q26" s="29"/>
      <c r="R26" s="29"/>
      <c r="S26" s="29"/>
    </row>
    <row r="27" spans="1:19" ht="52">
      <c r="B27" s="32" t="s">
        <v>209</v>
      </c>
      <c r="C27" s="32"/>
      <c r="D27" s="29"/>
      <c r="E27" s="29"/>
      <c r="F27" s="35" t="s">
        <v>216</v>
      </c>
      <c r="G27" s="29"/>
      <c r="H27" s="29"/>
      <c r="I27" s="29"/>
      <c r="J27" s="29"/>
      <c r="K27" s="29"/>
      <c r="L27" s="29"/>
      <c r="M27" s="29"/>
      <c r="N27" s="31"/>
      <c r="O27" s="29"/>
      <c r="P27" s="29"/>
      <c r="Q27" s="29"/>
      <c r="R27" s="29"/>
      <c r="S27" s="29"/>
    </row>
    <row r="28" spans="1:19" ht="104">
      <c r="B28" s="32" t="s">
        <v>210</v>
      </c>
      <c r="C28" s="32"/>
      <c r="D28" s="34"/>
      <c r="E28" s="34"/>
      <c r="F28" s="35" t="s">
        <v>216</v>
      </c>
      <c r="G28" s="35">
        <v>-13.44</v>
      </c>
      <c r="H28" s="35" t="s">
        <v>216</v>
      </c>
      <c r="I28" s="35" t="s">
        <v>216</v>
      </c>
      <c r="J28" s="35" t="s">
        <v>216</v>
      </c>
      <c r="K28" s="35"/>
      <c r="L28" s="35" t="s">
        <v>216</v>
      </c>
      <c r="M28" s="35" t="s">
        <v>216</v>
      </c>
      <c r="N28" s="35" t="s">
        <v>216</v>
      </c>
      <c r="O28" s="35" t="s">
        <v>216</v>
      </c>
      <c r="P28" s="35" t="s">
        <v>216</v>
      </c>
      <c r="Q28" s="35" t="s">
        <v>216</v>
      </c>
      <c r="R28" s="35" t="s">
        <v>216</v>
      </c>
      <c r="S28" s="35" t="s">
        <v>216</v>
      </c>
    </row>
    <row r="29" spans="1:19" ht="78">
      <c r="B29" s="32" t="s">
        <v>211</v>
      </c>
      <c r="C29" s="32"/>
      <c r="D29" s="29"/>
      <c r="E29" s="29"/>
      <c r="F29" s="35" t="s">
        <v>216</v>
      </c>
      <c r="G29" s="29"/>
      <c r="H29" s="29"/>
      <c r="I29" s="29"/>
      <c r="J29" s="29"/>
      <c r="K29" s="29"/>
      <c r="L29" s="29"/>
      <c r="M29" s="29"/>
      <c r="N29" s="31"/>
      <c r="O29" s="29"/>
      <c r="P29" s="29"/>
      <c r="Q29" s="29"/>
      <c r="R29" s="29"/>
      <c r="S29" s="29"/>
    </row>
    <row r="30" spans="1:19" ht="26">
      <c r="B30" s="32"/>
      <c r="C30" s="32" t="s">
        <v>212</v>
      </c>
      <c r="D30" s="29"/>
      <c r="E30" s="29"/>
      <c r="F30" s="35" t="s">
        <v>216</v>
      </c>
      <c r="G30" s="29"/>
      <c r="H30" s="29"/>
      <c r="I30" s="29"/>
      <c r="J30" s="29"/>
      <c r="K30" s="29"/>
      <c r="L30" s="29"/>
      <c r="M30" s="29"/>
      <c r="N30" s="31"/>
      <c r="O30" s="29"/>
      <c r="P30" s="29"/>
      <c r="Q30" s="29"/>
      <c r="R30" s="29"/>
      <c r="S30" s="29"/>
    </row>
    <row r="31" spans="1:19" ht="78">
      <c r="B31" s="32" t="s">
        <v>213</v>
      </c>
      <c r="C31" s="32"/>
      <c r="D31" s="29"/>
      <c r="E31" s="29"/>
      <c r="F31" s="35" t="s">
        <v>216</v>
      </c>
      <c r="G31" s="29"/>
      <c r="H31" s="29"/>
      <c r="I31" s="29"/>
      <c r="J31" s="29"/>
      <c r="K31" s="29"/>
      <c r="L31" s="29"/>
      <c r="M31" s="29"/>
      <c r="N31" s="31"/>
      <c r="O31" s="29"/>
      <c r="P31" s="29"/>
      <c r="Q31" s="29"/>
      <c r="R31" s="29"/>
      <c r="S31" s="29"/>
    </row>
    <row r="32" spans="1:19" ht="78">
      <c r="B32" s="32" t="s">
        <v>214</v>
      </c>
      <c r="C32" s="32"/>
      <c r="D32" s="29"/>
      <c r="E32" s="29"/>
      <c r="F32" s="35" t="s">
        <v>216</v>
      </c>
      <c r="G32" s="29"/>
      <c r="H32" s="29"/>
      <c r="I32" s="29"/>
      <c r="J32" s="29"/>
      <c r="K32" s="29"/>
      <c r="L32" s="29"/>
      <c r="M32" s="29"/>
      <c r="N32" s="31"/>
      <c r="O32" s="29"/>
      <c r="P32" s="29"/>
      <c r="Q32" s="29"/>
      <c r="R32" s="29"/>
      <c r="S32" s="29"/>
    </row>
    <row r="33" spans="2:19" ht="52">
      <c r="B33" s="33" t="s">
        <v>215</v>
      </c>
      <c r="C33" s="33"/>
      <c r="D33" s="19"/>
      <c r="E33" s="19"/>
      <c r="F33" s="37"/>
      <c r="G33" s="19"/>
      <c r="H33" s="19"/>
      <c r="I33" s="19"/>
      <c r="J33" s="19"/>
      <c r="K33" s="19"/>
      <c r="L33" s="19"/>
      <c r="M33" s="19"/>
      <c r="N33" s="20"/>
      <c r="O33" s="19"/>
      <c r="P33" s="19"/>
      <c r="Q33" s="19"/>
      <c r="R33" s="19"/>
      <c r="S33" s="19"/>
    </row>
  </sheetData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A3DAF-BA5D-BA40-9D4F-C29D57FD93F1}">
  <sheetPr codeName="Sheet18">
    <tabColor theme="6"/>
  </sheetPr>
  <dimension ref="A1:AA62"/>
  <sheetViews>
    <sheetView tabSelected="1" zoomScale="50" workbookViewId="0">
      <selection activeCell="T24" sqref="T24"/>
    </sheetView>
  </sheetViews>
  <sheetFormatPr baseColWidth="10" defaultRowHeight="27"/>
  <cols>
    <col min="1" max="7" width="10.83203125" style="3"/>
    <col min="8" max="13" width="10.83203125" style="3" customWidth="1"/>
    <col min="14" max="14" width="9.6640625" style="3" customWidth="1"/>
    <col min="15" max="19" width="26" style="3" customWidth="1"/>
    <col min="20" max="20" width="26.5" style="3" customWidth="1"/>
    <col min="21" max="25" width="26" style="3" customWidth="1"/>
    <col min="26" max="16384" width="10.83203125" style="3"/>
  </cols>
  <sheetData>
    <row r="1" spans="1:2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2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27">
      <c r="A3" s="1" t="s">
        <v>601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27">
      <c r="A4" s="1"/>
      <c r="B4" s="1"/>
      <c r="C4" s="1"/>
      <c r="D4" s="1"/>
      <c r="E4" s="4"/>
      <c r="F4" s="4"/>
      <c r="G4" s="4"/>
      <c r="H4" s="4"/>
      <c r="I4" s="4"/>
      <c r="J4" s="4"/>
      <c r="K4" s="4"/>
      <c r="L4" s="4"/>
      <c r="M4" s="4"/>
      <c r="N4" s="4"/>
      <c r="O4" s="1"/>
      <c r="P4" s="1"/>
      <c r="Q4" s="1"/>
      <c r="R4" s="1"/>
      <c r="S4" s="1"/>
    </row>
    <row r="5" spans="1:27" ht="45">
      <c r="A5" s="1"/>
      <c r="B5" s="567" t="s">
        <v>595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1"/>
      <c r="P5" s="1"/>
      <c r="Q5" s="1"/>
      <c r="R5" s="1"/>
      <c r="S5" s="1"/>
    </row>
    <row r="6" spans="1:27">
      <c r="A6" s="1"/>
      <c r="C6" s="534" t="s">
        <v>650</v>
      </c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/>
    </row>
    <row r="7" spans="1:27" ht="28" thickBot="1">
      <c r="A7" s="1"/>
      <c r="C7" s="533" t="s">
        <v>596</v>
      </c>
      <c r="D7" s="4"/>
      <c r="E7" s="531"/>
      <c r="F7" s="531"/>
      <c r="G7" s="531"/>
      <c r="H7" s="531"/>
      <c r="I7" s="531"/>
      <c r="J7" s="531"/>
      <c r="K7" s="531"/>
      <c r="L7" s="531"/>
      <c r="M7" s="531"/>
      <c r="N7" s="531"/>
      <c r="O7" s="1"/>
      <c r="P7" s="1"/>
      <c r="Q7" s="1"/>
      <c r="R7" s="1"/>
      <c r="S7" s="1"/>
    </row>
    <row r="8" spans="1:27" ht="38" customHeight="1">
      <c r="A8" s="1"/>
      <c r="B8" s="700" t="s">
        <v>594</v>
      </c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0"/>
      <c r="S8" s="700"/>
      <c r="T8" s="703" t="s">
        <v>619</v>
      </c>
      <c r="U8" s="700" t="s">
        <v>615</v>
      </c>
      <c r="V8" s="700"/>
      <c r="W8" s="700"/>
      <c r="X8" s="700"/>
      <c r="Y8" s="700"/>
    </row>
    <row r="9" spans="1:27" ht="32">
      <c r="A9" s="1"/>
      <c r="B9" s="706" t="s">
        <v>588</v>
      </c>
      <c r="C9" s="706"/>
      <c r="D9" s="706"/>
      <c r="E9" s="706"/>
      <c r="F9" s="706"/>
      <c r="G9" s="706"/>
      <c r="H9" s="706"/>
      <c r="I9" s="706"/>
      <c r="J9" s="706"/>
      <c r="K9" s="706"/>
      <c r="L9" s="706"/>
      <c r="M9" s="706"/>
      <c r="N9" s="706"/>
      <c r="O9" s="706"/>
      <c r="P9" s="706"/>
      <c r="Q9" s="706"/>
      <c r="R9" s="706"/>
      <c r="S9" s="706"/>
      <c r="T9" s="704"/>
      <c r="U9" s="702" t="s">
        <v>618</v>
      </c>
      <c r="V9" s="702"/>
      <c r="W9" s="702"/>
      <c r="X9" s="702"/>
      <c r="Y9" s="702"/>
    </row>
    <row r="10" spans="1:27" ht="28" thickBot="1">
      <c r="A10" s="1"/>
      <c r="B10" s="524" t="s">
        <v>1</v>
      </c>
      <c r="C10" s="524"/>
      <c r="D10" s="524"/>
      <c r="E10" s="524"/>
      <c r="F10" s="524"/>
      <c r="G10" s="524"/>
      <c r="H10" s="524"/>
      <c r="I10" s="524"/>
      <c r="J10" s="524"/>
      <c r="K10" s="524"/>
      <c r="L10" s="524"/>
      <c r="M10" s="524" t="s">
        <v>46</v>
      </c>
      <c r="N10" s="524"/>
      <c r="O10" s="532" t="s">
        <v>589</v>
      </c>
      <c r="P10" s="532" t="s">
        <v>590</v>
      </c>
      <c r="Q10" s="532" t="s">
        <v>591</v>
      </c>
      <c r="R10" s="532" t="s">
        <v>592</v>
      </c>
      <c r="S10" s="532" t="s">
        <v>593</v>
      </c>
      <c r="T10" s="705"/>
      <c r="U10" s="532" t="s">
        <v>610</v>
      </c>
      <c r="V10" s="532" t="s">
        <v>611</v>
      </c>
      <c r="W10" s="532" t="s">
        <v>612</v>
      </c>
      <c r="X10" s="532" t="s">
        <v>613</v>
      </c>
      <c r="Y10" s="532" t="s">
        <v>614</v>
      </c>
    </row>
    <row r="11" spans="1:27" ht="33">
      <c r="B11" s="538" t="s">
        <v>73</v>
      </c>
    </row>
    <row r="12" spans="1:27">
      <c r="B12" s="3" t="s">
        <v>74</v>
      </c>
      <c r="O12" s="526">
        <v>9561.65</v>
      </c>
      <c r="P12" s="526">
        <v>10888.68</v>
      </c>
      <c r="Q12" s="526">
        <v>11529.89</v>
      </c>
      <c r="R12" s="526">
        <v>12404.01</v>
      </c>
      <c r="S12" s="526">
        <f>12563.09</f>
        <v>12563.09</v>
      </c>
      <c r="T12" s="558"/>
      <c r="U12" s="526">
        <f>S12*(1+$T$13)</f>
        <v>13819.399000000001</v>
      </c>
      <c r="V12" s="526">
        <f>U12*(1+$T$13)</f>
        <v>15201.338900000002</v>
      </c>
      <c r="W12" s="526">
        <f t="shared" ref="W12:Y12" si="0">V12*(1+$T$13)</f>
        <v>16721.472790000003</v>
      </c>
      <c r="X12" s="526">
        <f t="shared" si="0"/>
        <v>18393.620069000004</v>
      </c>
      <c r="Y12" s="526">
        <f t="shared" si="0"/>
        <v>20232.982075900007</v>
      </c>
    </row>
    <row r="13" spans="1:27">
      <c r="B13" s="551" t="s">
        <v>620</v>
      </c>
      <c r="C13" s="551"/>
      <c r="D13" s="551"/>
      <c r="E13" s="551"/>
      <c r="F13" s="551"/>
      <c r="G13" s="551"/>
      <c r="H13" s="551"/>
      <c r="I13" s="551"/>
      <c r="J13" s="551"/>
      <c r="K13" s="551"/>
      <c r="L13" s="551"/>
      <c r="M13" s="551"/>
      <c r="N13" s="551"/>
      <c r="O13" s="563"/>
      <c r="P13" s="552">
        <f>P12/O12-1</f>
        <v>0.13878671568191692</v>
      </c>
      <c r="Q13" s="552">
        <f t="shared" ref="Q13:S13" si="1">Q12/P12-1</f>
        <v>5.8887762336665261E-2</v>
      </c>
      <c r="R13" s="552">
        <f t="shared" si="1"/>
        <v>7.5813385903941821E-2</v>
      </c>
      <c r="S13" s="552">
        <f t="shared" si="1"/>
        <v>1.2824884855784591E-2</v>
      </c>
      <c r="T13" s="562">
        <v>0.1</v>
      </c>
      <c r="AA13" s="3" t="s">
        <v>814</v>
      </c>
    </row>
    <row r="14" spans="1:27" s="2" customFormat="1">
      <c r="B14" s="2" t="s">
        <v>503</v>
      </c>
      <c r="O14" s="525">
        <v>4758.8599999999997</v>
      </c>
      <c r="P14" s="525">
        <v>5639.69</v>
      </c>
      <c r="Q14" s="525">
        <v>6268.67</v>
      </c>
      <c r="R14" s="525">
        <v>6446.9599999999991</v>
      </c>
      <c r="S14" s="525">
        <v>6507.8600000000006</v>
      </c>
      <c r="T14" s="556"/>
      <c r="U14" s="525">
        <f>U12*$T$15</f>
        <v>7284.9005545765203</v>
      </c>
      <c r="V14" s="525">
        <f t="shared" ref="V14:Y14" si="2">V12*$T$15</f>
        <v>8013.3906100341728</v>
      </c>
      <c r="W14" s="525">
        <f t="shared" si="2"/>
        <v>8814.7296710375904</v>
      </c>
      <c r="X14" s="525">
        <f t="shared" si="2"/>
        <v>9696.2026381413489</v>
      </c>
      <c r="Y14" s="525">
        <f t="shared" si="2"/>
        <v>10665.822901955486</v>
      </c>
      <c r="AA14" s="3" t="s">
        <v>817</v>
      </c>
    </row>
    <row r="15" spans="1:27">
      <c r="B15" s="553" t="s">
        <v>622</v>
      </c>
      <c r="C15" s="553"/>
      <c r="D15" s="553"/>
      <c r="E15" s="553"/>
      <c r="F15" s="553"/>
      <c r="G15" s="553"/>
      <c r="H15" s="553"/>
      <c r="I15" s="553"/>
      <c r="J15" s="553"/>
      <c r="K15" s="553"/>
      <c r="L15" s="553"/>
      <c r="M15" s="553"/>
      <c r="N15" s="553"/>
      <c r="O15" s="561">
        <f>O14/$O$12</f>
        <v>0.49770280234060021</v>
      </c>
      <c r="P15" s="561">
        <f>P14/$P$12</f>
        <v>0.51794065029002589</v>
      </c>
      <c r="Q15" s="561">
        <f>Q14/$Q$12</f>
        <v>0.54368862148728225</v>
      </c>
      <c r="R15" s="561">
        <f>R14/$R$12</f>
        <v>0.51974804921956685</v>
      </c>
      <c r="S15" s="561">
        <f>S14/$S$12</f>
        <v>0.51801427833439073</v>
      </c>
      <c r="T15" s="560">
        <f>AVERAGE(Q15:S15)</f>
        <v>0.52715031634707987</v>
      </c>
    </row>
    <row r="16" spans="1:27" s="2" customFormat="1" ht="28" thickBot="1">
      <c r="B16" s="539" t="s">
        <v>623</v>
      </c>
      <c r="C16" s="539"/>
      <c r="D16" s="539"/>
      <c r="E16" s="539"/>
      <c r="F16" s="539"/>
      <c r="G16" s="539"/>
      <c r="H16" s="539"/>
      <c r="I16" s="539"/>
      <c r="J16" s="539"/>
      <c r="K16" s="539"/>
      <c r="L16" s="539"/>
      <c r="M16" s="539"/>
      <c r="N16" s="539"/>
      <c r="O16" s="565">
        <f>O12-O14</f>
        <v>4802.79</v>
      </c>
      <c r="P16" s="565">
        <f t="shared" ref="P16:S16" si="3">P12-P14</f>
        <v>5248.9900000000007</v>
      </c>
      <c r="Q16" s="565">
        <f t="shared" si="3"/>
        <v>5261.2199999999993</v>
      </c>
      <c r="R16" s="565">
        <f t="shared" si="3"/>
        <v>5957.0500000000011</v>
      </c>
      <c r="S16" s="565">
        <f t="shared" si="3"/>
        <v>6055.23</v>
      </c>
      <c r="T16" s="566"/>
      <c r="U16" s="542">
        <f>U12-U14</f>
        <v>6534.4984454234809</v>
      </c>
      <c r="V16" s="542">
        <f t="shared" ref="V16:Y16" si="4">V12-V14</f>
        <v>7187.9482899658296</v>
      </c>
      <c r="W16" s="542">
        <f t="shared" si="4"/>
        <v>7906.7431189624131</v>
      </c>
      <c r="X16" s="542">
        <f t="shared" si="4"/>
        <v>8697.4174308586553</v>
      </c>
      <c r="Y16" s="542">
        <f t="shared" si="4"/>
        <v>9567.1591739445212</v>
      </c>
      <c r="Z16" s="526"/>
      <c r="AA16" s="526"/>
    </row>
    <row r="17" spans="2:27" s="2" customFormat="1">
      <c r="B17" s="553" t="s">
        <v>622</v>
      </c>
      <c r="C17" s="553"/>
      <c r="D17" s="553"/>
      <c r="E17" s="553"/>
      <c r="F17" s="553"/>
      <c r="G17" s="553"/>
      <c r="H17" s="553"/>
      <c r="I17" s="553"/>
      <c r="J17" s="553"/>
      <c r="K17" s="553"/>
      <c r="L17" s="553"/>
      <c r="M17" s="553"/>
      <c r="N17" s="553"/>
      <c r="O17" s="554">
        <f>O16/$O$12</f>
        <v>0.50229719765939984</v>
      </c>
      <c r="P17" s="554">
        <f>P16/$P$12</f>
        <v>0.48205934970997411</v>
      </c>
      <c r="Q17" s="554">
        <f>Q16/$Q$12</f>
        <v>0.4563113785127178</v>
      </c>
      <c r="R17" s="554">
        <f>R16/$R$12</f>
        <v>0.4802519507804332</v>
      </c>
      <c r="S17" s="554">
        <f>S16/$S$12</f>
        <v>0.48198572166560932</v>
      </c>
      <c r="T17" s="560"/>
    </row>
    <row r="18" spans="2:27" s="2" customFormat="1">
      <c r="B18" s="2" t="s">
        <v>621</v>
      </c>
      <c r="O18" s="525">
        <v>2770.01</v>
      </c>
      <c r="P18" s="525">
        <v>2995.1800000000003</v>
      </c>
      <c r="Q18" s="525">
        <v>3097.1</v>
      </c>
      <c r="R18" s="525">
        <v>3556.8199999999997</v>
      </c>
      <c r="S18" s="525">
        <v>3711.89</v>
      </c>
      <c r="T18" s="556"/>
      <c r="U18" s="525">
        <f>U12*$T$19</f>
        <v>3919.2848564053697</v>
      </c>
      <c r="V18" s="525">
        <f t="shared" ref="V18:Y18" si="5">V12*$T$19</f>
        <v>4311.2133420459068</v>
      </c>
      <c r="W18" s="525">
        <f t="shared" si="5"/>
        <v>4742.334676250498</v>
      </c>
      <c r="X18" s="525">
        <f t="shared" si="5"/>
        <v>5216.5681438755473</v>
      </c>
      <c r="Y18" s="525">
        <f t="shared" si="5"/>
        <v>5738.224958263103</v>
      </c>
      <c r="AA18" s="3" t="s">
        <v>818</v>
      </c>
    </row>
    <row r="19" spans="2:27" s="2" customFormat="1">
      <c r="B19" s="553" t="s">
        <v>622</v>
      </c>
      <c r="C19" s="553"/>
      <c r="D19" s="553"/>
      <c r="E19" s="553"/>
      <c r="F19" s="553"/>
      <c r="G19" s="553"/>
      <c r="H19" s="553"/>
      <c r="I19" s="553"/>
      <c r="J19" s="553"/>
      <c r="K19" s="553"/>
      <c r="L19" s="553"/>
      <c r="M19" s="553"/>
      <c r="N19" s="553"/>
      <c r="O19" s="561">
        <f>O18/$O$12</f>
        <v>0.28969999947707775</v>
      </c>
      <c r="P19" s="561">
        <f>P18/$P$12</f>
        <v>0.27507282792771948</v>
      </c>
      <c r="Q19" s="561">
        <f>Q18/$Q$12</f>
        <v>0.26861487837264708</v>
      </c>
      <c r="R19" s="561">
        <f>R18/$R$12</f>
        <v>0.28674759210932593</v>
      </c>
      <c r="S19" s="561">
        <f>S18/$S$12</f>
        <v>0.29545995451755896</v>
      </c>
      <c r="T19" s="560">
        <f>AVERAGE(Q19:S19)</f>
        <v>0.28360747499984401</v>
      </c>
    </row>
    <row r="20" spans="2:27" s="2" customFormat="1" ht="28" thickBot="1">
      <c r="B20" s="539" t="s">
        <v>624</v>
      </c>
      <c r="C20" s="539"/>
      <c r="D20" s="539"/>
      <c r="E20" s="539"/>
      <c r="F20" s="539"/>
      <c r="G20" s="539"/>
      <c r="H20" s="539"/>
      <c r="I20" s="539"/>
      <c r="J20" s="539"/>
      <c r="K20" s="539"/>
      <c r="L20" s="539"/>
      <c r="M20" s="539"/>
      <c r="N20" s="539"/>
      <c r="O20" s="542">
        <f>O16-O18</f>
        <v>2032.7799999999997</v>
      </c>
      <c r="P20" s="542">
        <f t="shared" ref="P20:S20" si="6">P16-P18</f>
        <v>2253.8100000000004</v>
      </c>
      <c r="Q20" s="542">
        <f t="shared" si="6"/>
        <v>2164.1199999999994</v>
      </c>
      <c r="R20" s="542">
        <f t="shared" si="6"/>
        <v>2400.2300000000014</v>
      </c>
      <c r="S20" s="542">
        <f t="shared" si="6"/>
        <v>2343.3399999999997</v>
      </c>
      <c r="T20" s="566"/>
      <c r="U20" s="542">
        <f>U16-U18</f>
        <v>2615.2135890181112</v>
      </c>
      <c r="V20" s="542">
        <f t="shared" ref="V20:Y20" si="7">V16-V18</f>
        <v>2876.7349479199229</v>
      </c>
      <c r="W20" s="542">
        <f t="shared" si="7"/>
        <v>3164.4084427119151</v>
      </c>
      <c r="X20" s="542">
        <f t="shared" si="7"/>
        <v>3480.849286983108</v>
      </c>
      <c r="Y20" s="542">
        <f t="shared" si="7"/>
        <v>3828.9342156814182</v>
      </c>
    </row>
    <row r="21" spans="2:27" s="2" customFormat="1">
      <c r="B21" s="553" t="s">
        <v>622</v>
      </c>
      <c r="C21" s="553"/>
      <c r="D21" s="553"/>
      <c r="E21" s="553"/>
      <c r="F21" s="553"/>
      <c r="G21" s="553"/>
      <c r="H21" s="553"/>
      <c r="I21" s="553"/>
      <c r="J21" s="553"/>
      <c r="K21" s="553"/>
      <c r="L21" s="553"/>
      <c r="M21" s="553"/>
      <c r="N21" s="553"/>
      <c r="O21" s="561">
        <f>O20/$O$12</f>
        <v>0.21259719818232206</v>
      </c>
      <c r="P21" s="561">
        <f>P20/$P$12</f>
        <v>0.20698652178225463</v>
      </c>
      <c r="Q21" s="561">
        <f>Q20/$Q$12</f>
        <v>0.18769650014007069</v>
      </c>
      <c r="R21" s="561">
        <f>R20/$R$12</f>
        <v>0.19350435867110727</v>
      </c>
      <c r="S21" s="561">
        <f>S20/$S$12</f>
        <v>0.18652576714805033</v>
      </c>
      <c r="T21" s="558"/>
    </row>
    <row r="22" spans="2:27" s="2" customFormat="1">
      <c r="B22" s="3" t="s">
        <v>625</v>
      </c>
      <c r="O22" s="525">
        <v>240.13</v>
      </c>
      <c r="P22" s="525">
        <v>252.89</v>
      </c>
      <c r="Q22" s="525">
        <v>310.95999999999998</v>
      </c>
      <c r="R22" s="525">
        <v>399.21</v>
      </c>
      <c r="S22" s="525">
        <v>445.6</v>
      </c>
      <c r="T22" s="558"/>
      <c r="U22" s="525">
        <f>-'Fore - Cash Flow'!T44*'Fore - P&amp; L'!$T$23</f>
        <v>422.41282160186176</v>
      </c>
      <c r="V22" s="525">
        <f>-'Fore - Cash Flow'!U44*'Fore - P&amp; L'!$T$23</f>
        <v>441.41382362050274</v>
      </c>
      <c r="W22" s="525">
        <f>-'Fore - Cash Flow'!V44*'Fore - P&amp; L'!$T$23</f>
        <v>461.26952999291609</v>
      </c>
      <c r="X22" s="525">
        <f>-'Fore - Cash Flow'!W44*'Fore - P&amp; L'!$T$23</f>
        <v>482.0183870879639</v>
      </c>
      <c r="Y22" s="525">
        <f>-'Fore - Cash Flow'!X44*'Fore - P&amp; L'!$T$23</f>
        <v>503.70057067166425</v>
      </c>
      <c r="AA22" s="3" t="s">
        <v>819</v>
      </c>
    </row>
    <row r="23" spans="2:27" s="2" customFormat="1">
      <c r="B23" s="553" t="s">
        <v>622</v>
      </c>
      <c r="C23" s="553"/>
      <c r="D23" s="553"/>
      <c r="E23" s="553"/>
      <c r="F23" s="553"/>
      <c r="G23" s="553"/>
      <c r="H23" s="553"/>
      <c r="I23" s="553"/>
      <c r="J23" s="553"/>
      <c r="K23" s="553"/>
      <c r="L23" s="553"/>
      <c r="M23" s="553"/>
      <c r="N23" s="553"/>
      <c r="O23" s="554">
        <f>O22/'Fore - Cash Flow'!N44</f>
        <v>-0.77160116962822534</v>
      </c>
      <c r="P23" s="554">
        <f>P22/'Fore - Cash Flow'!O44</f>
        <v>-0.67594151765429122</v>
      </c>
      <c r="Q23" s="554">
        <f>Q22/'Fore - Cash Flow'!P44</f>
        <v>-0.61081537645602935</v>
      </c>
      <c r="R23" s="554">
        <f>R22/'Fore - Cash Flow'!Q44</f>
        <v>-0.70799489234916468</v>
      </c>
      <c r="S23" s="554">
        <f>S22/'Fore - Cash Flow'!R44</f>
        <v>-0.78238578501948952</v>
      </c>
      <c r="T23" s="560">
        <f>AVERAGE(O23:S23)</f>
        <v>-0.70974774822144004</v>
      </c>
    </row>
    <row r="24" spans="2:27" s="2" customFormat="1" ht="28" thickBot="1">
      <c r="B24" s="539" t="s">
        <v>500</v>
      </c>
      <c r="C24" s="539"/>
      <c r="D24" s="539"/>
      <c r="E24" s="539"/>
      <c r="F24" s="539"/>
      <c r="G24" s="539"/>
      <c r="H24" s="539"/>
      <c r="I24" s="539"/>
      <c r="J24" s="539"/>
      <c r="K24" s="539"/>
      <c r="L24" s="539"/>
      <c r="M24" s="539"/>
      <c r="N24" s="539"/>
      <c r="O24" s="542">
        <f>O20-O22</f>
        <v>1792.6499999999996</v>
      </c>
      <c r="P24" s="542">
        <f t="shared" ref="P24:S24" si="8">P20-P22</f>
        <v>2000.9200000000005</v>
      </c>
      <c r="Q24" s="542">
        <f t="shared" si="8"/>
        <v>1853.1599999999994</v>
      </c>
      <c r="R24" s="542">
        <f t="shared" si="8"/>
        <v>2001.0200000000013</v>
      </c>
      <c r="S24" s="542">
        <f t="shared" si="8"/>
        <v>1897.7399999999998</v>
      </c>
      <c r="T24" s="566"/>
      <c r="U24" s="542">
        <f>U20-U22</f>
        <v>2192.8007674162495</v>
      </c>
      <c r="V24" s="542">
        <f t="shared" ref="V24:Y24" si="9">V20-V22</f>
        <v>2435.3211242994203</v>
      </c>
      <c r="W24" s="542">
        <f t="shared" si="9"/>
        <v>2703.1389127189991</v>
      </c>
      <c r="X24" s="542">
        <f t="shared" si="9"/>
        <v>2998.8308998951443</v>
      </c>
      <c r="Y24" s="542">
        <f t="shared" si="9"/>
        <v>3325.2336450097541</v>
      </c>
    </row>
    <row r="25" spans="2:27" s="2" customFormat="1">
      <c r="B25" s="553" t="s">
        <v>622</v>
      </c>
      <c r="C25" s="553"/>
      <c r="D25" s="553"/>
      <c r="E25" s="553"/>
      <c r="F25" s="553"/>
      <c r="G25" s="553"/>
      <c r="H25" s="553"/>
      <c r="I25" s="553"/>
      <c r="J25" s="553"/>
      <c r="K25" s="553"/>
      <c r="L25" s="553"/>
      <c r="M25" s="553"/>
      <c r="N25" s="553"/>
      <c r="O25" s="554">
        <f>O24/$O$12</f>
        <v>0.18748333185172011</v>
      </c>
      <c r="P25" s="554">
        <f>P24/$P$12</f>
        <v>0.18376148440398657</v>
      </c>
      <c r="Q25" s="554">
        <f>Q24/$Q$12</f>
        <v>0.16072659843242212</v>
      </c>
      <c r="R25" s="554">
        <f>R24/$R$12</f>
        <v>0.16132041170556952</v>
      </c>
      <c r="S25" s="554">
        <f>S24/$S$12</f>
        <v>0.15105678618874813</v>
      </c>
      <c r="T25" s="558"/>
    </row>
    <row r="26" spans="2:27">
      <c r="B26" s="3" t="s">
        <v>82</v>
      </c>
      <c r="O26" s="525">
        <v>30.81</v>
      </c>
      <c r="P26" s="525">
        <v>38.6</v>
      </c>
      <c r="Q26" s="525">
        <v>78.239999999999995</v>
      </c>
      <c r="R26" s="525">
        <v>124.18</v>
      </c>
      <c r="S26" s="525">
        <v>163.5</v>
      </c>
      <c r="T26" s="556"/>
      <c r="U26" s="525">
        <f>U12*$T$27</f>
        <v>159.09992681076525</v>
      </c>
      <c r="V26" s="525">
        <f t="shared" ref="V26:Y26" si="10">V12*$T$27</f>
        <v>175.0099194918418</v>
      </c>
      <c r="W26" s="525">
        <f t="shared" si="10"/>
        <v>192.51091144102597</v>
      </c>
      <c r="X26" s="525">
        <f t="shared" si="10"/>
        <v>211.76200258512858</v>
      </c>
      <c r="Y26" s="525">
        <f t="shared" si="10"/>
        <v>232.93820284364145</v>
      </c>
    </row>
    <row r="27" spans="2:27">
      <c r="B27" s="553" t="s">
        <v>622</v>
      </c>
      <c r="C27" s="553"/>
      <c r="D27" s="553"/>
      <c r="E27" s="553"/>
      <c r="F27" s="553"/>
      <c r="G27" s="553"/>
      <c r="H27" s="553"/>
      <c r="I27" s="553"/>
      <c r="J27" s="553"/>
      <c r="K27" s="553"/>
      <c r="L27" s="553"/>
      <c r="M27" s="553"/>
      <c r="N27" s="553"/>
      <c r="O27" s="554">
        <f>O26/$O$12</f>
        <v>3.2222472062876178E-3</v>
      </c>
      <c r="P27" s="554">
        <f>P26/$P$12</f>
        <v>3.5449659646531995E-3</v>
      </c>
      <c r="Q27" s="554">
        <f>Q26/$Q$12</f>
        <v>6.7858409750656771E-3</v>
      </c>
      <c r="R27" s="554">
        <f>R26/$R$12</f>
        <v>1.0011278610707344E-2</v>
      </c>
      <c r="S27" s="554">
        <f>S26/$S$12</f>
        <v>1.3014314153603931E-2</v>
      </c>
      <c r="T27" s="560">
        <f>AVERAGE(R27:S27)</f>
        <v>1.1512796382155637E-2</v>
      </c>
    </row>
    <row r="28" spans="2:27" ht="28" thickBot="1">
      <c r="B28" s="539" t="s">
        <v>526</v>
      </c>
      <c r="C28" s="539"/>
      <c r="D28" s="539"/>
      <c r="E28" s="539"/>
      <c r="F28" s="539"/>
      <c r="G28" s="539"/>
      <c r="H28" s="539"/>
      <c r="I28" s="539"/>
      <c r="J28" s="539"/>
      <c r="K28" s="539"/>
      <c r="L28" s="539"/>
      <c r="M28" s="539"/>
      <c r="N28" s="539"/>
      <c r="O28" s="542">
        <f>O24-O26</f>
        <v>1761.8399999999997</v>
      </c>
      <c r="P28" s="542">
        <f t="shared" ref="P28:S28" si="11">P24-P26</f>
        <v>1962.3200000000006</v>
      </c>
      <c r="Q28" s="542">
        <f t="shared" si="11"/>
        <v>1774.9199999999994</v>
      </c>
      <c r="R28" s="542">
        <f t="shared" si="11"/>
        <v>1876.8400000000013</v>
      </c>
      <c r="S28" s="542">
        <f t="shared" si="11"/>
        <v>1734.2399999999998</v>
      </c>
      <c r="T28" s="566"/>
      <c r="U28" s="542">
        <f>U24-U26</f>
        <v>2033.7008406054842</v>
      </c>
      <c r="V28" s="542">
        <f t="shared" ref="V28:Y28" si="12">V24-V26</f>
        <v>2260.3112048075786</v>
      </c>
      <c r="W28" s="542">
        <f t="shared" si="12"/>
        <v>2510.628001277973</v>
      </c>
      <c r="X28" s="542">
        <f t="shared" si="12"/>
        <v>2787.0688973100159</v>
      </c>
      <c r="Y28" s="542">
        <f t="shared" si="12"/>
        <v>3092.2954421661125</v>
      </c>
    </row>
    <row r="29" spans="2:27">
      <c r="B29" s="3" t="s">
        <v>626</v>
      </c>
      <c r="O29" s="525">
        <v>325.29000000000002</v>
      </c>
      <c r="P29" s="525">
        <v>393.16</v>
      </c>
      <c r="Q29" s="525">
        <v>445.39</v>
      </c>
      <c r="R29" s="525">
        <v>482.41</v>
      </c>
      <c r="S29" s="525">
        <v>550.1</v>
      </c>
      <c r="T29" s="556"/>
    </row>
    <row r="30" spans="2:27">
      <c r="B30" s="3" t="s">
        <v>88</v>
      </c>
      <c r="O30" s="525">
        <v>-1.01</v>
      </c>
      <c r="P30" s="525">
        <v>-1.8</v>
      </c>
      <c r="Q30" s="525">
        <v>-1.63</v>
      </c>
      <c r="R30" s="525">
        <v>-0.51</v>
      </c>
      <c r="S30" s="525">
        <v>0.55000000000000004</v>
      </c>
      <c r="T30" s="556"/>
    </row>
    <row r="31" spans="2:27">
      <c r="B31" s="3" t="s">
        <v>90</v>
      </c>
      <c r="O31" s="525"/>
      <c r="P31" s="525">
        <v>-85</v>
      </c>
      <c r="Q31" s="525"/>
      <c r="R31" s="525"/>
      <c r="S31" s="525"/>
      <c r="T31" s="556"/>
    </row>
    <row r="32" spans="2:27" ht="28" thickBot="1">
      <c r="B32" s="539" t="s">
        <v>627</v>
      </c>
      <c r="C32" s="539"/>
      <c r="D32" s="539"/>
      <c r="E32" s="539"/>
      <c r="F32" s="539"/>
      <c r="G32" s="539"/>
      <c r="H32" s="539"/>
      <c r="I32" s="539"/>
      <c r="J32" s="539"/>
      <c r="K32" s="539"/>
      <c r="L32" s="539"/>
      <c r="M32" s="539"/>
      <c r="N32" s="539"/>
      <c r="O32" s="542">
        <f>SUM(O28:O31)</f>
        <v>2086.1199999999994</v>
      </c>
      <c r="P32" s="542">
        <f t="shared" ref="P32:S32" si="13">SUM(P28:P31)</f>
        <v>2268.6800000000003</v>
      </c>
      <c r="Q32" s="542">
        <f t="shared" si="13"/>
        <v>2218.6799999999994</v>
      </c>
      <c r="R32" s="542">
        <f t="shared" si="13"/>
        <v>2358.7400000000011</v>
      </c>
      <c r="S32" s="542">
        <f t="shared" si="13"/>
        <v>2284.89</v>
      </c>
      <c r="T32" s="566"/>
      <c r="U32" s="542">
        <f>U28</f>
        <v>2033.7008406054842</v>
      </c>
      <c r="V32" s="542">
        <f t="shared" ref="V32:Y32" si="14">V28</f>
        <v>2260.3112048075786</v>
      </c>
      <c r="W32" s="542">
        <f t="shared" si="14"/>
        <v>2510.628001277973</v>
      </c>
      <c r="X32" s="542">
        <f t="shared" si="14"/>
        <v>2787.0688973100159</v>
      </c>
      <c r="Y32" s="542">
        <f t="shared" si="14"/>
        <v>3092.2954421661125</v>
      </c>
    </row>
    <row r="33" spans="2:25">
      <c r="B33" s="2" t="s">
        <v>92</v>
      </c>
      <c r="O33" s="525"/>
      <c r="P33" s="525"/>
      <c r="Q33" s="525"/>
      <c r="R33" s="525"/>
      <c r="S33" s="525"/>
      <c r="T33" s="556"/>
    </row>
    <row r="34" spans="2:25">
      <c r="B34" s="3" t="s">
        <v>94</v>
      </c>
      <c r="O34" s="525">
        <v>363.04</v>
      </c>
      <c r="P34" s="525">
        <v>442.17</v>
      </c>
      <c r="Q34" s="525">
        <v>481.63</v>
      </c>
      <c r="R34" s="525">
        <v>539.53</v>
      </c>
      <c r="S34" s="525">
        <v>499.06</v>
      </c>
      <c r="T34" s="564">
        <v>0.25</v>
      </c>
      <c r="U34" s="525">
        <f>U32*$T$34</f>
        <v>508.42521015137106</v>
      </c>
      <c r="V34" s="525">
        <f>V32*$T$34</f>
        <v>565.07780120189466</v>
      </c>
      <c r="W34" s="525">
        <f>W32*$T$34</f>
        <v>627.65700031949325</v>
      </c>
      <c r="X34" s="525">
        <f>X32*$T$34</f>
        <v>696.76722432750398</v>
      </c>
      <c r="Y34" s="525">
        <f>Y32*$T$34</f>
        <v>773.07386054152812</v>
      </c>
    </row>
    <row r="35" spans="2:25">
      <c r="B35" s="3" t="s">
        <v>93</v>
      </c>
      <c r="O35" s="525">
        <v>-1.97</v>
      </c>
      <c r="P35" s="525">
        <v>84.21</v>
      </c>
      <c r="Q35" s="525">
        <v>35.72</v>
      </c>
      <c r="R35" s="525">
        <v>7.9</v>
      </c>
      <c r="S35" s="525">
        <v>18.41</v>
      </c>
      <c r="T35" s="556"/>
    </row>
    <row r="36" spans="2:25">
      <c r="B36" s="2" t="s">
        <v>95</v>
      </c>
      <c r="O36" s="526">
        <f>SUM(O34:O35)</f>
        <v>361.07</v>
      </c>
      <c r="P36" s="526">
        <f>SUM(P34:P35)</f>
        <v>526.38</v>
      </c>
      <c r="Q36" s="526">
        <f>SUM(Q34:Q35)</f>
        <v>517.35</v>
      </c>
      <c r="R36" s="526">
        <v>547.42999999999995</v>
      </c>
      <c r="S36" s="526">
        <v>517.47</v>
      </c>
      <c r="T36" s="556"/>
    </row>
    <row r="37" spans="2:25" ht="28" thickBot="1">
      <c r="B37" s="539" t="s">
        <v>96</v>
      </c>
      <c r="C37" s="539"/>
      <c r="D37" s="539"/>
      <c r="E37" s="539"/>
      <c r="F37" s="539"/>
      <c r="G37" s="539"/>
      <c r="H37" s="539"/>
      <c r="I37" s="539"/>
      <c r="J37" s="539"/>
      <c r="K37" s="539"/>
      <c r="L37" s="539"/>
      <c r="M37" s="539"/>
      <c r="N37" s="539"/>
      <c r="O37" s="542">
        <f>O32-O36</f>
        <v>1725.0499999999995</v>
      </c>
      <c r="P37" s="542">
        <f t="shared" ref="P37:S37" si="15">P32-P36</f>
        <v>1742.3000000000002</v>
      </c>
      <c r="Q37" s="542">
        <f t="shared" si="15"/>
        <v>1701.3299999999995</v>
      </c>
      <c r="R37" s="542">
        <f t="shared" si="15"/>
        <v>1811.3100000000013</v>
      </c>
      <c r="S37" s="542">
        <f t="shared" si="15"/>
        <v>1767.4199999999998</v>
      </c>
      <c r="T37" s="566"/>
      <c r="U37" s="542">
        <f>U32-U34</f>
        <v>1525.2756304541131</v>
      </c>
      <c r="V37" s="542">
        <f>V32-V34</f>
        <v>1695.2334036056841</v>
      </c>
      <c r="W37" s="542">
        <f>W32-W34</f>
        <v>1882.9710009584796</v>
      </c>
      <c r="X37" s="542">
        <f>X32-X34</f>
        <v>2090.3016729825122</v>
      </c>
      <c r="Y37" s="542">
        <f>Y32-Y34</f>
        <v>2319.2215816245844</v>
      </c>
    </row>
    <row r="38" spans="2:25">
      <c r="B38" s="553" t="s">
        <v>622</v>
      </c>
      <c r="C38" s="553"/>
      <c r="D38" s="553"/>
      <c r="E38" s="553"/>
      <c r="F38" s="553"/>
      <c r="G38" s="553"/>
      <c r="H38" s="553"/>
      <c r="I38" s="553"/>
      <c r="J38" s="553"/>
      <c r="K38" s="553"/>
      <c r="L38" s="553"/>
      <c r="M38" s="553"/>
      <c r="N38" s="553"/>
      <c r="O38" s="554">
        <f>O37/$O$12</f>
        <v>0.18041342236957006</v>
      </c>
      <c r="P38" s="554">
        <f>P37/$P$12</f>
        <v>0.1600102124408101</v>
      </c>
      <c r="Q38" s="554">
        <f>Q37/$Q$12</f>
        <v>0.14755821608011868</v>
      </c>
      <c r="R38" s="554">
        <f>R37/$R$12</f>
        <v>0.14602616411950661</v>
      </c>
      <c r="S38" s="554">
        <f>S37/$S$12</f>
        <v>0.1406835420266829</v>
      </c>
      <c r="T38" s="556"/>
    </row>
    <row r="39" spans="2:25">
      <c r="B39" s="2" t="s">
        <v>97</v>
      </c>
      <c r="O39" s="525"/>
      <c r="P39" s="525"/>
      <c r="Q39" s="525"/>
      <c r="R39" s="525"/>
      <c r="S39" s="525"/>
      <c r="T39" s="556"/>
    </row>
    <row r="40" spans="2:25">
      <c r="B40" s="3" t="s">
        <v>98</v>
      </c>
      <c r="C40" s="3" t="s">
        <v>65</v>
      </c>
      <c r="D40" s="3" t="s">
        <v>103</v>
      </c>
      <c r="O40" s="525">
        <v>6.6</v>
      </c>
      <c r="P40" s="525">
        <v>15.27</v>
      </c>
      <c r="Q40" s="525">
        <v>-2.21</v>
      </c>
      <c r="R40" s="525">
        <v>-2.93</v>
      </c>
      <c r="S40" s="525">
        <v>4.75</v>
      </c>
      <c r="T40" s="556"/>
    </row>
    <row r="41" spans="2:25">
      <c r="C41" s="3" t="s">
        <v>66</v>
      </c>
      <c r="D41" s="3" t="s">
        <v>100</v>
      </c>
      <c r="O41" s="525">
        <v>-2.4</v>
      </c>
      <c r="P41" s="525">
        <v>-7.55</v>
      </c>
      <c r="Q41" s="525">
        <v>0.77</v>
      </c>
      <c r="R41" s="525">
        <v>1.05</v>
      </c>
      <c r="S41" s="525">
        <v>-1.65</v>
      </c>
      <c r="T41" s="556"/>
    </row>
    <row r="42" spans="2:25">
      <c r="B42" s="3" t="s">
        <v>99</v>
      </c>
      <c r="C42" s="3" t="s">
        <v>65</v>
      </c>
      <c r="D42" s="3" t="s">
        <v>102</v>
      </c>
      <c r="O42" s="525">
        <v>-98.66</v>
      </c>
      <c r="P42" s="525">
        <v>-106.97</v>
      </c>
      <c r="Q42" s="525">
        <v>-247.93</v>
      </c>
      <c r="R42" s="525">
        <v>-78.91</v>
      </c>
      <c r="S42" s="525">
        <v>105.09</v>
      </c>
      <c r="T42" s="556"/>
    </row>
    <row r="43" spans="2:25">
      <c r="C43" s="3" t="s">
        <v>66</v>
      </c>
      <c r="D43" s="3" t="s">
        <v>101</v>
      </c>
      <c r="O43" s="525">
        <v>6.25</v>
      </c>
      <c r="P43" s="525">
        <v>10.83</v>
      </c>
      <c r="Q43" s="525">
        <v>23.98</v>
      </c>
      <c r="R43" s="525">
        <v>-11.09</v>
      </c>
      <c r="S43" s="525">
        <v>-19.100000000000001</v>
      </c>
      <c r="T43" s="556"/>
    </row>
    <row r="44" spans="2:25">
      <c r="B44" s="2" t="s">
        <v>104</v>
      </c>
      <c r="O44" s="526">
        <f>SUM(O40:O43)</f>
        <v>-88.21</v>
      </c>
      <c r="P44" s="526">
        <f>SUM(P40:P43)</f>
        <v>-88.42</v>
      </c>
      <c r="Q44" s="526">
        <f>SUM(Q40:Q43)</f>
        <v>-225.39000000000001</v>
      </c>
      <c r="R44" s="526">
        <v>-91.88</v>
      </c>
      <c r="S44" s="526">
        <v>89.09</v>
      </c>
      <c r="T44" s="556"/>
    </row>
    <row r="45" spans="2:25">
      <c r="B45" s="2" t="s">
        <v>105</v>
      </c>
      <c r="O45" s="526">
        <f>SUM(O37,O44)</f>
        <v>1636.8399999999995</v>
      </c>
      <c r="P45" s="526">
        <f>SUM(P37,P44)</f>
        <v>1653.88</v>
      </c>
      <c r="Q45" s="526">
        <f>SUM(Q37,Q44)</f>
        <v>1475.9399999999994</v>
      </c>
      <c r="R45" s="526">
        <v>1719.43</v>
      </c>
      <c r="S45" s="526">
        <v>1829.51</v>
      </c>
      <c r="T45" s="556"/>
    </row>
    <row r="46" spans="2:25">
      <c r="B46" s="2" t="s">
        <v>106</v>
      </c>
      <c r="O46" s="525"/>
      <c r="P46" s="525"/>
      <c r="Q46" s="525"/>
      <c r="R46" s="525"/>
      <c r="S46" s="525"/>
      <c r="T46" s="556"/>
    </row>
    <row r="47" spans="2:25">
      <c r="C47" s="3" t="s">
        <v>107</v>
      </c>
      <c r="O47" s="525">
        <v>1693.3</v>
      </c>
      <c r="P47" s="525">
        <v>1739.22</v>
      </c>
      <c r="Q47" s="525">
        <v>1707.15</v>
      </c>
      <c r="R47" s="525">
        <v>1842.68</v>
      </c>
      <c r="S47" s="525">
        <v>1767.63</v>
      </c>
      <c r="T47" s="556"/>
    </row>
    <row r="48" spans="2:25">
      <c r="C48" s="3" t="s">
        <v>108</v>
      </c>
      <c r="O48" s="525">
        <v>1.65</v>
      </c>
      <c r="P48" s="525">
        <v>3.08</v>
      </c>
      <c r="Q48" s="525">
        <v>-5.82</v>
      </c>
      <c r="R48" s="525">
        <v>-31.37</v>
      </c>
      <c r="S48" s="525">
        <v>-27.21</v>
      </c>
      <c r="T48" s="556"/>
    </row>
    <row r="49" spans="2:20">
      <c r="B49" s="2" t="s">
        <v>111</v>
      </c>
      <c r="O49" s="525"/>
      <c r="P49" s="525"/>
      <c r="Q49" s="525"/>
      <c r="R49" s="525"/>
      <c r="S49" s="525"/>
      <c r="T49" s="556"/>
    </row>
    <row r="50" spans="2:20">
      <c r="C50" s="3" t="s">
        <v>107</v>
      </c>
      <c r="O50" s="525">
        <v>-86.79</v>
      </c>
      <c r="P50" s="525">
        <v>-89.2</v>
      </c>
      <c r="Q50" s="525">
        <v>-225.49</v>
      </c>
      <c r="R50" s="525">
        <v>-91.86</v>
      </c>
      <c r="S50" s="525">
        <v>89.09</v>
      </c>
      <c r="T50" s="556"/>
    </row>
    <row r="51" spans="2:20">
      <c r="C51" s="3" t="s">
        <v>108</v>
      </c>
      <c r="O51" s="525">
        <v>-1.42</v>
      </c>
      <c r="P51" s="525">
        <v>0.78</v>
      </c>
      <c r="Q51" s="525">
        <v>0.11</v>
      </c>
      <c r="R51" s="525">
        <v>-0.02</v>
      </c>
      <c r="S51" s="525"/>
      <c r="T51" s="556"/>
    </row>
    <row r="52" spans="2:20">
      <c r="B52" s="2" t="s">
        <v>109</v>
      </c>
      <c r="O52" s="525"/>
      <c r="P52" s="525"/>
      <c r="Q52" s="525"/>
      <c r="R52" s="525"/>
      <c r="S52" s="525"/>
      <c r="T52" s="556"/>
    </row>
    <row r="53" spans="2:20">
      <c r="C53" s="3" t="s">
        <v>107</v>
      </c>
      <c r="O53" s="525">
        <v>1606.51</v>
      </c>
      <c r="P53" s="525">
        <v>1650.02</v>
      </c>
      <c r="Q53" s="525">
        <v>1481.66</v>
      </c>
      <c r="R53" s="525">
        <v>1750.82</v>
      </c>
      <c r="S53" s="525">
        <v>1856.72</v>
      </c>
      <c r="T53" s="556"/>
    </row>
    <row r="54" spans="2:20">
      <c r="C54" s="3" t="s">
        <v>108</v>
      </c>
      <c r="O54" s="525">
        <v>0.23</v>
      </c>
      <c r="P54" s="525">
        <v>3.86</v>
      </c>
      <c r="Q54" s="525">
        <v>-5.72</v>
      </c>
      <c r="R54" s="525">
        <v>-31.39</v>
      </c>
      <c r="S54" s="525">
        <v>-27.21</v>
      </c>
      <c r="T54" s="556"/>
    </row>
    <row r="55" spans="2:20">
      <c r="B55" s="2" t="s">
        <v>598</v>
      </c>
      <c r="O55" s="525"/>
      <c r="P55" s="525"/>
      <c r="Q55" s="525"/>
      <c r="R55" s="525"/>
      <c r="S55" s="525"/>
      <c r="T55" s="556"/>
    </row>
    <row r="56" spans="2:20" ht="28" thickBot="1">
      <c r="B56" s="543" t="s">
        <v>599</v>
      </c>
      <c r="C56" s="543"/>
      <c r="D56" s="543"/>
      <c r="E56" s="543"/>
      <c r="F56" s="543"/>
      <c r="G56" s="543"/>
      <c r="H56" s="543"/>
      <c r="I56" s="543"/>
      <c r="J56" s="543"/>
      <c r="K56" s="543"/>
      <c r="L56" s="543"/>
      <c r="M56" s="543"/>
      <c r="N56" s="543"/>
      <c r="O56" s="544">
        <v>9.58</v>
      </c>
      <c r="P56" s="544">
        <v>9.84</v>
      </c>
      <c r="Q56" s="544">
        <v>9.64</v>
      </c>
      <c r="R56" s="544">
        <v>10.4</v>
      </c>
      <c r="S56" s="544">
        <v>9.9700000000000006</v>
      </c>
      <c r="T56" s="556"/>
    </row>
    <row r="57" spans="2:20">
      <c r="B57" s="3" t="s">
        <v>600</v>
      </c>
      <c r="O57" s="525">
        <v>9.5500000000000007</v>
      </c>
      <c r="P57" s="525">
        <v>9.81</v>
      </c>
      <c r="Q57" s="525">
        <v>9.61</v>
      </c>
      <c r="R57" s="525">
        <v>10.38</v>
      </c>
      <c r="S57" s="525">
        <v>9.9499999999999993</v>
      </c>
      <c r="T57" s="556"/>
    </row>
    <row r="58" spans="2:20">
      <c r="B58" s="2" t="s">
        <v>110</v>
      </c>
      <c r="T58" s="556"/>
    </row>
    <row r="59" spans="2:20">
      <c r="T59" s="556"/>
    </row>
    <row r="60" spans="2:20">
      <c r="T60" s="556"/>
    </row>
    <row r="61" spans="2:20">
      <c r="T61" s="556"/>
    </row>
    <row r="62" spans="2:20">
      <c r="T62" s="556"/>
    </row>
  </sheetData>
  <mergeCells count="5">
    <mergeCell ref="B8:S8"/>
    <mergeCell ref="T8:T10"/>
    <mergeCell ref="U8:Y8"/>
    <mergeCell ref="B9:S9"/>
    <mergeCell ref="U9:Y9"/>
  </mergeCells>
  <pageMargins left="0.7" right="0.7" top="0.75" bottom="0.75" header="0.3" footer="0.3"/>
  <pageSetup paperSize="9" orientation="portrait" horizontalDpi="0" verticalDpi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EE470-F12D-4141-AD73-2B85A79B09B1}">
  <sheetPr codeName="Sheet19">
    <tabColor theme="6"/>
  </sheetPr>
  <dimension ref="B4:AH119"/>
  <sheetViews>
    <sheetView zoomScale="47" workbookViewId="0">
      <selection activeCell="W51" sqref="W51"/>
    </sheetView>
  </sheetViews>
  <sheetFormatPr baseColWidth="10" defaultRowHeight="27"/>
  <cols>
    <col min="1" max="12" width="10.83203125" style="1"/>
    <col min="13" max="23" width="33" style="1" customWidth="1"/>
    <col min="24" max="24" width="38.6640625" style="1" customWidth="1"/>
    <col min="25" max="16384" width="10.83203125" style="1"/>
  </cols>
  <sheetData>
    <row r="4" spans="2:34" ht="35" customHeight="1">
      <c r="E4" s="4"/>
      <c r="F4" s="4"/>
      <c r="G4" s="4"/>
      <c r="H4" s="4"/>
      <c r="I4" s="4"/>
      <c r="J4" s="4"/>
      <c r="K4" s="4"/>
      <c r="L4" s="4"/>
    </row>
    <row r="5" spans="2:34" ht="47">
      <c r="B5" s="537" t="s">
        <v>595</v>
      </c>
      <c r="C5" s="4"/>
      <c r="D5" s="4"/>
      <c r="E5" s="4"/>
      <c r="F5" s="4"/>
      <c r="G5" s="4"/>
      <c r="H5" s="4"/>
      <c r="I5" s="4"/>
      <c r="J5" s="4"/>
      <c r="K5" s="4"/>
      <c r="L5" s="4"/>
    </row>
    <row r="6" spans="2:34">
      <c r="B6" s="534" t="s">
        <v>650</v>
      </c>
      <c r="C6" s="4"/>
      <c r="D6" s="4"/>
      <c r="Q6"/>
    </row>
    <row r="7" spans="2:34" ht="28" thickBot="1">
      <c r="B7" s="533" t="s">
        <v>596</v>
      </c>
      <c r="C7" s="4"/>
      <c r="D7" s="4"/>
      <c r="E7" s="531"/>
      <c r="F7" s="531"/>
      <c r="G7" s="531"/>
      <c r="H7" s="531"/>
      <c r="I7" s="531"/>
      <c r="J7" s="531"/>
      <c r="K7" s="531"/>
      <c r="L7" s="531"/>
    </row>
    <row r="8" spans="2:34" ht="31">
      <c r="B8" s="700" t="s">
        <v>594</v>
      </c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3" t="s">
        <v>619</v>
      </c>
      <c r="S8" s="700" t="s">
        <v>615</v>
      </c>
      <c r="T8" s="700"/>
      <c r="U8" s="700"/>
      <c r="V8" s="700"/>
      <c r="W8" s="700"/>
      <c r="X8" s="535"/>
      <c r="Y8" s="535"/>
      <c r="Z8" s="535"/>
      <c r="AA8" s="535"/>
      <c r="AB8" s="535"/>
      <c r="AC8" s="535"/>
      <c r="AD8" s="535"/>
      <c r="AE8" s="535"/>
      <c r="AF8" s="535"/>
      <c r="AG8" s="535"/>
      <c r="AH8" s="535"/>
    </row>
    <row r="9" spans="2:34" ht="32">
      <c r="B9" s="702" t="s">
        <v>597</v>
      </c>
      <c r="C9" s="702"/>
      <c r="D9" s="702"/>
      <c r="E9" s="702"/>
      <c r="F9" s="702"/>
      <c r="G9" s="702"/>
      <c r="H9" s="702"/>
      <c r="I9" s="702"/>
      <c r="J9" s="702"/>
      <c r="K9" s="702"/>
      <c r="L9" s="702"/>
      <c r="M9" s="702"/>
      <c r="N9" s="702"/>
      <c r="O9" s="702"/>
      <c r="P9" s="702"/>
      <c r="Q9" s="702"/>
      <c r="R9" s="704"/>
      <c r="S9" s="702" t="s">
        <v>616</v>
      </c>
      <c r="T9" s="702"/>
      <c r="U9" s="702"/>
      <c r="V9" s="702"/>
      <c r="W9" s="702"/>
      <c r="X9" s="550"/>
      <c r="Y9" s="550"/>
      <c r="Z9" s="550"/>
      <c r="AA9" s="550"/>
      <c r="AB9" s="550"/>
      <c r="AC9" s="550"/>
      <c r="AD9" s="550"/>
      <c r="AE9" s="550"/>
      <c r="AF9" s="550"/>
      <c r="AG9" s="550"/>
      <c r="AH9" s="550"/>
    </row>
    <row r="10" spans="2:34" ht="28" thickBot="1">
      <c r="B10" s="524" t="s">
        <v>1</v>
      </c>
      <c r="C10" s="524"/>
      <c r="D10" s="524"/>
      <c r="E10" s="524"/>
      <c r="F10" s="524"/>
      <c r="G10" s="524"/>
      <c r="H10" s="524"/>
      <c r="I10" s="524"/>
      <c r="J10" s="524"/>
      <c r="K10" s="524" t="s">
        <v>46</v>
      </c>
      <c r="L10" s="524"/>
      <c r="M10" s="532" t="s">
        <v>589</v>
      </c>
      <c r="N10" s="532" t="s">
        <v>590</v>
      </c>
      <c r="O10" s="532" t="s">
        <v>591</v>
      </c>
      <c r="P10" s="532" t="s">
        <v>592</v>
      </c>
      <c r="Q10" s="532" t="s">
        <v>593</v>
      </c>
      <c r="R10" s="705"/>
      <c r="S10" s="532" t="s">
        <v>610</v>
      </c>
      <c r="T10" s="532" t="s">
        <v>611</v>
      </c>
      <c r="U10" s="532" t="s">
        <v>612</v>
      </c>
      <c r="V10" s="532" t="s">
        <v>613</v>
      </c>
      <c r="W10" s="532" t="s">
        <v>614</v>
      </c>
      <c r="Y10" s="528"/>
      <c r="Z10" s="527"/>
    </row>
    <row r="11" spans="2:34">
      <c r="B11" s="529" t="s">
        <v>2</v>
      </c>
    </row>
    <row r="12" spans="2:34">
      <c r="B12" s="2" t="s">
        <v>72</v>
      </c>
      <c r="R12" s="555"/>
    </row>
    <row r="13" spans="2:34">
      <c r="B13" s="1" t="s">
        <v>57</v>
      </c>
      <c r="C13" s="1" t="s">
        <v>3</v>
      </c>
      <c r="M13" s="530">
        <v>1811.7</v>
      </c>
      <c r="N13" s="530">
        <v>1967.95</v>
      </c>
      <c r="O13" s="530">
        <v>2237.62</v>
      </c>
      <c r="P13" s="530">
        <v>2560.94</v>
      </c>
      <c r="Q13" s="530">
        <v>2799.88</v>
      </c>
      <c r="R13" s="556"/>
      <c r="S13" s="530">
        <f>Q13+'Fore - Cash Flow'!T44-'Fore - Cash Flow'!T14</f>
        <v>2972.6262650741974</v>
      </c>
      <c r="T13" s="530">
        <f>S13+'Fore - Cash Flow'!U44-'Fore - Cash Flow'!U14</f>
        <v>3153.1430142898093</v>
      </c>
      <c r="U13" s="530">
        <f>T13+'Fore - Cash Flow'!V44-'Fore - Cash Flow'!V14</f>
        <v>3341.7797800883395</v>
      </c>
      <c r="V13" s="530">
        <f>U13+'Fore - Cash Flow'!W44-'Fore - Cash Flow'!W14</f>
        <v>3538.9018176031386</v>
      </c>
      <c r="W13" s="530">
        <f>V13+'Fore - Cash Flow'!X44-'Fore - Cash Flow'!X14</f>
        <v>3744.8908118985914</v>
      </c>
    </row>
    <row r="14" spans="2:34" s="553" customFormat="1">
      <c r="C14" s="553" t="s">
        <v>622</v>
      </c>
      <c r="M14" s="554">
        <f ca="1">M13/$M$59</f>
        <v>0.167005965481964</v>
      </c>
      <c r="N14" s="554">
        <f ca="1">N13/$N$59</f>
        <v>0.1601887181821024</v>
      </c>
      <c r="O14" s="554">
        <f ca="1">O13/$O$59</f>
        <v>0.16386406664280323</v>
      </c>
      <c r="P14" s="554">
        <f>P13/$P$59</f>
        <v>0.16934432256716403</v>
      </c>
      <c r="Q14" s="554">
        <f>Q13/$Q$59</f>
        <v>0.17248839965796547</v>
      </c>
      <c r="R14" s="571" t="s">
        <v>637</v>
      </c>
    </row>
    <row r="15" spans="2:34">
      <c r="B15" s="1" t="s">
        <v>58</v>
      </c>
      <c r="C15" s="1" t="s">
        <v>4</v>
      </c>
      <c r="M15" s="530">
        <v>147.30000000000001</v>
      </c>
      <c r="N15" s="530">
        <v>167.5</v>
      </c>
      <c r="O15" s="530">
        <v>175.13</v>
      </c>
      <c r="P15" s="530">
        <v>209.09</v>
      </c>
      <c r="Q15" s="530">
        <v>166.41</v>
      </c>
      <c r="R15" s="556"/>
      <c r="S15" s="530">
        <f>Q15*(1+R16)</f>
        <v>173.89546583868207</v>
      </c>
      <c r="T15" s="530">
        <f>S15*(1+$R$16)</f>
        <v>181.71764340635926</v>
      </c>
      <c r="U15" s="530">
        <f t="shared" ref="U15:W15" si="0">T15*(1+$R$16)</f>
        <v>189.89167869272492</v>
      </c>
      <c r="V15" s="530">
        <f t="shared" si="0"/>
        <v>198.43339898540196</v>
      </c>
      <c r="W15" s="530">
        <f t="shared" si="0"/>
        <v>207.35934351613207</v>
      </c>
    </row>
    <row r="16" spans="2:34">
      <c r="C16" s="553" t="s">
        <v>622</v>
      </c>
      <c r="M16" s="554">
        <f ca="1">M15/$M$59</f>
        <v>1.3578395272668376E-2</v>
      </c>
      <c r="N16" s="554">
        <f ca="1">N15/$N$59</f>
        <v>1.3634294720649484E-2</v>
      </c>
      <c r="O16" s="554">
        <f ca="1">O15/$O$59</f>
        <v>1.2825016754924486E-2</v>
      </c>
      <c r="P16" s="554">
        <f>P15/$P$59</f>
        <v>1.3826253018644843E-2</v>
      </c>
      <c r="Q16" s="554">
        <f>Q15/$Q$59</f>
        <v>1.0251794572296682E-2</v>
      </c>
      <c r="R16" s="557">
        <f>-'Fore - Cash Flow'!$S$45</f>
        <v>4.4982067415912853E-2</v>
      </c>
    </row>
    <row r="17" spans="2:23">
      <c r="B17" s="1" t="s">
        <v>59</v>
      </c>
      <c r="C17" s="1" t="s">
        <v>5</v>
      </c>
      <c r="M17" s="530">
        <v>50.5</v>
      </c>
      <c r="N17" s="530">
        <v>49.07</v>
      </c>
      <c r="O17" s="530">
        <v>47.05</v>
      </c>
      <c r="P17" s="530">
        <v>45.45</v>
      </c>
      <c r="Q17" s="530">
        <v>43.5</v>
      </c>
      <c r="R17" s="556"/>
      <c r="S17" s="530">
        <v>43.5</v>
      </c>
      <c r="T17" s="530">
        <v>43.5</v>
      </c>
      <c r="U17" s="530">
        <v>43.5</v>
      </c>
      <c r="V17" s="530">
        <v>43.5</v>
      </c>
      <c r="W17" s="530">
        <v>43.5</v>
      </c>
    </row>
    <row r="18" spans="2:23">
      <c r="C18" s="553" t="s">
        <v>622</v>
      </c>
      <c r="M18" s="554">
        <f ca="1">M17/$M$59</f>
        <v>4.6551864308876645E-3</v>
      </c>
      <c r="N18" s="554">
        <f ca="1">N17/$N$59</f>
        <v>3.9942378623419117E-3</v>
      </c>
      <c r="O18" s="554">
        <f ca="1">O17/$O$59</f>
        <v>3.4455378194438247E-3</v>
      </c>
      <c r="P18" s="554">
        <f>P17/$P$59</f>
        <v>3.0054196742905358E-3</v>
      </c>
      <c r="Q18" s="554">
        <f>Q17/$Q$59</f>
        <v>2.6798453452010437E-3</v>
      </c>
      <c r="R18" s="556" t="s">
        <v>639</v>
      </c>
    </row>
    <row r="19" spans="2:23">
      <c r="B19" s="1" t="s">
        <v>60</v>
      </c>
      <c r="C19" s="1" t="s">
        <v>6</v>
      </c>
      <c r="M19" s="530">
        <v>336.01</v>
      </c>
      <c r="N19" s="530">
        <v>251.15</v>
      </c>
      <c r="O19" s="530">
        <v>405.25</v>
      </c>
      <c r="P19" s="530">
        <v>405.12</v>
      </c>
      <c r="Q19" s="530">
        <v>405.09</v>
      </c>
      <c r="R19" s="556"/>
      <c r="S19" s="530">
        <v>405.09</v>
      </c>
      <c r="T19" s="530">
        <v>405.09</v>
      </c>
      <c r="U19" s="530">
        <v>405.09</v>
      </c>
      <c r="V19" s="530">
        <v>405.09</v>
      </c>
      <c r="W19" s="530">
        <v>405.09</v>
      </c>
    </row>
    <row r="20" spans="2:23">
      <c r="C20" s="553" t="s">
        <v>622</v>
      </c>
      <c r="M20" s="554">
        <f ca="1">M19/$M$59</f>
        <v>3.0974043418664634E-2</v>
      </c>
      <c r="N20" s="554">
        <f ca="1">N19/$N$59</f>
        <v>2.0443302203529062E-2</v>
      </c>
      <c r="O20" s="554">
        <f ca="1">O19/$O$59</f>
        <v>2.9677028721139427E-2</v>
      </c>
      <c r="P20" s="554">
        <f>P19/$P$59</f>
        <v>2.6788902496118414E-2</v>
      </c>
      <c r="Q20" s="554">
        <f>Q19/$Q$59</f>
        <v>2.4955828756034269E-2</v>
      </c>
      <c r="R20" s="556" t="s">
        <v>639</v>
      </c>
    </row>
    <row r="21" spans="2:23">
      <c r="B21" s="1" t="s">
        <v>61</v>
      </c>
      <c r="C21" s="1" t="s">
        <v>7</v>
      </c>
      <c r="M21" s="530">
        <v>44.71</v>
      </c>
      <c r="N21" s="530">
        <v>39.729999999999997</v>
      </c>
      <c r="O21" s="530">
        <v>888.73</v>
      </c>
      <c r="P21" s="530">
        <v>803.49</v>
      </c>
      <c r="Q21" s="530">
        <v>741.22</v>
      </c>
      <c r="R21" s="556"/>
      <c r="S21" s="530">
        <v>741.22</v>
      </c>
      <c r="T21" s="530">
        <v>741.22</v>
      </c>
      <c r="U21" s="530">
        <v>741.22</v>
      </c>
      <c r="V21" s="530">
        <v>741.22</v>
      </c>
      <c r="W21" s="530">
        <v>741.22</v>
      </c>
    </row>
    <row r="22" spans="2:23">
      <c r="C22" s="553" t="s">
        <v>622</v>
      </c>
      <c r="M22" s="554">
        <f ca="1">M21/$M$59</f>
        <v>4.1214531747522272E-3</v>
      </c>
      <c r="N22" s="554">
        <f ca="1">N21/$N$59</f>
        <v>3.2339733089636058E-3</v>
      </c>
      <c r="O22" s="554">
        <f ca="1">O21/$O$59</f>
        <v>6.5082950611568768E-2</v>
      </c>
      <c r="P22" s="554">
        <f>P21/$P$59</f>
        <v>5.3131455535659025E-2</v>
      </c>
      <c r="Q22" s="554">
        <f>Q21/$Q$59</f>
        <v>4.5663332569423398E-2</v>
      </c>
      <c r="R22" s="556" t="s">
        <v>639</v>
      </c>
    </row>
    <row r="23" spans="2:23">
      <c r="B23" s="1" t="s">
        <v>62</v>
      </c>
      <c r="C23" s="1" t="s">
        <v>8</v>
      </c>
      <c r="M23" s="530"/>
      <c r="N23" s="530"/>
      <c r="O23" s="530"/>
      <c r="P23" s="530">
        <v>23.14</v>
      </c>
      <c r="Q23" s="530">
        <v>2.58</v>
      </c>
      <c r="R23" s="556"/>
      <c r="S23" s="575" t="s">
        <v>643</v>
      </c>
      <c r="T23" s="575" t="s">
        <v>643</v>
      </c>
      <c r="U23" s="575" t="s">
        <v>643</v>
      </c>
      <c r="V23" s="575" t="s">
        <v>643</v>
      </c>
      <c r="W23" s="575" t="s">
        <v>643</v>
      </c>
    </row>
    <row r="24" spans="2:23">
      <c r="C24" s="553" t="s">
        <v>622</v>
      </c>
      <c r="M24" s="530"/>
      <c r="N24" s="530"/>
      <c r="O24" s="530"/>
      <c r="P24" s="554">
        <f>P23/$P$59</f>
        <v>1.5301520629941254E-3</v>
      </c>
      <c r="Q24" s="554">
        <f>Q23/$Q$59</f>
        <v>1.5894255150847571E-4</v>
      </c>
      <c r="R24" s="556" t="s">
        <v>640</v>
      </c>
    </row>
    <row r="25" spans="2:23">
      <c r="B25" s="1" t="s">
        <v>63</v>
      </c>
      <c r="C25" s="1" t="s">
        <v>9</v>
      </c>
      <c r="M25" s="530">
        <v>11.27</v>
      </c>
      <c r="N25" s="530">
        <v>9.4700000000000006</v>
      </c>
      <c r="O25" s="530">
        <v>7.84</v>
      </c>
      <c r="P25" s="530">
        <v>7.33</v>
      </c>
      <c r="Q25" s="530">
        <v>7.58</v>
      </c>
      <c r="R25" s="556"/>
      <c r="S25" s="530">
        <v>7.58</v>
      </c>
      <c r="T25" s="530">
        <v>7.58</v>
      </c>
      <c r="U25" s="530">
        <v>7.58</v>
      </c>
      <c r="V25" s="530">
        <v>7.58</v>
      </c>
      <c r="W25" s="530">
        <v>7.58</v>
      </c>
    </row>
    <row r="26" spans="2:23">
      <c r="C26" s="553" t="s">
        <v>622</v>
      </c>
      <c r="M26" s="554">
        <f ca="1">M25/$M$59</f>
        <v>1.0388901203188905E-3</v>
      </c>
      <c r="N26" s="554">
        <f ca="1">N25/$N$59</f>
        <v>7.7084639405701862E-4</v>
      </c>
      <c r="O26" s="554">
        <f ca="1">O25/$O$59</f>
        <v>5.7413425089138342E-4</v>
      </c>
      <c r="P26" s="568">
        <f>P25/$P$59</f>
        <v>4.8470244692078385E-4</v>
      </c>
      <c r="Q26" s="568">
        <f>Q25/$Q$59</f>
        <v>4.6697075210629682E-4</v>
      </c>
      <c r="R26" s="556" t="s">
        <v>639</v>
      </c>
    </row>
    <row r="27" spans="2:23">
      <c r="B27" s="1" t="s">
        <v>64</v>
      </c>
      <c r="C27" s="1" t="s">
        <v>10</v>
      </c>
      <c r="M27" s="530"/>
      <c r="N27" s="530"/>
      <c r="O27" s="530"/>
      <c r="P27" s="530"/>
      <c r="Q27" s="530"/>
      <c r="R27" s="556"/>
    </row>
    <row r="28" spans="2:23">
      <c r="C28" s="1" t="s">
        <v>65</v>
      </c>
      <c r="D28" s="1" t="s">
        <v>11</v>
      </c>
      <c r="M28" s="530">
        <v>3402.35</v>
      </c>
      <c r="N28" s="530">
        <v>5355.59</v>
      </c>
      <c r="O28" s="530">
        <v>5520.95</v>
      </c>
      <c r="P28" s="530">
        <v>5278.76</v>
      </c>
      <c r="Q28" s="530">
        <v>5372.43</v>
      </c>
      <c r="R28" s="556"/>
      <c r="S28" s="530">
        <v>5372.43</v>
      </c>
      <c r="T28" s="530">
        <v>5372.43</v>
      </c>
      <c r="U28" s="530">
        <v>5372.43</v>
      </c>
      <c r="V28" s="530">
        <v>5372.43</v>
      </c>
      <c r="W28" s="530">
        <v>5372.43</v>
      </c>
    </row>
    <row r="29" spans="2:23">
      <c r="C29" s="1" t="s">
        <v>66</v>
      </c>
      <c r="D29" s="1" t="s">
        <v>12</v>
      </c>
      <c r="M29" s="530">
        <v>88.65</v>
      </c>
      <c r="N29" s="530">
        <v>23.32</v>
      </c>
      <c r="O29" s="530">
        <v>30.39</v>
      </c>
      <c r="P29" s="530">
        <v>20.83</v>
      </c>
      <c r="Q29" s="530">
        <v>21.39</v>
      </c>
      <c r="R29" s="556"/>
      <c r="S29" s="530">
        <v>21.39</v>
      </c>
      <c r="T29" s="530">
        <v>21.39</v>
      </c>
      <c r="U29" s="530">
        <v>21.39</v>
      </c>
      <c r="V29" s="530">
        <v>21.39</v>
      </c>
      <c r="W29" s="530">
        <v>21.39</v>
      </c>
    </row>
    <row r="30" spans="2:23">
      <c r="C30" s="1" t="s">
        <v>69</v>
      </c>
      <c r="D30" s="1" t="s">
        <v>577</v>
      </c>
      <c r="M30" s="530">
        <v>22.48</v>
      </c>
      <c r="N30" s="530"/>
      <c r="O30" s="530"/>
      <c r="P30" s="530"/>
      <c r="Q30" s="530"/>
      <c r="R30" s="556"/>
    </row>
    <row r="31" spans="2:23">
      <c r="C31" s="553" t="s">
        <v>622</v>
      </c>
      <c r="M31" s="554">
        <f ca="1">(M29+M30+M28)/$M$59</f>
        <v>0.32387929546921168</v>
      </c>
      <c r="N31" s="554">
        <f ca="1">(N30+N29+N28)/$N$59</f>
        <v>0.43783668188566394</v>
      </c>
      <c r="O31" s="554">
        <f ca="1">(O30+O29+O28)/$O$59</f>
        <v>0.40653245310502195</v>
      </c>
      <c r="P31" s="554">
        <f>(P30+P29+P28)/$P$59</f>
        <v>0.35043986912372677</v>
      </c>
      <c r="Q31" s="554">
        <f>(Q30+Q29+Q28)/$Q$59</f>
        <v>0.33228973378970794</v>
      </c>
      <c r="R31" s="556" t="s">
        <v>639</v>
      </c>
    </row>
    <row r="32" spans="2:23">
      <c r="B32" s="1" t="s">
        <v>67</v>
      </c>
      <c r="C32" s="1" t="s">
        <v>13</v>
      </c>
      <c r="M32" s="530">
        <v>17.95</v>
      </c>
      <c r="N32" s="530">
        <v>0.67</v>
      </c>
      <c r="O32" s="530">
        <v>2.09</v>
      </c>
      <c r="P32" s="530">
        <v>6.32</v>
      </c>
      <c r="Q32" s="530">
        <v>2.5299999999999998</v>
      </c>
      <c r="R32" s="556"/>
    </row>
    <row r="33" spans="2:24">
      <c r="B33" s="1" t="s">
        <v>67</v>
      </c>
      <c r="C33" s="1" t="s">
        <v>14</v>
      </c>
      <c r="M33" s="530">
        <v>4.29</v>
      </c>
      <c r="N33" s="530">
        <v>4.5</v>
      </c>
      <c r="O33" s="530">
        <v>4.49</v>
      </c>
      <c r="P33" s="530">
        <v>4.45</v>
      </c>
      <c r="Q33" s="530">
        <v>0.16</v>
      </c>
      <c r="R33" s="556"/>
    </row>
    <row r="34" spans="2:24">
      <c r="B34" s="1" t="s">
        <v>68</v>
      </c>
      <c r="C34" s="1" t="s">
        <v>15</v>
      </c>
      <c r="M34" s="530">
        <v>133.97999999999999</v>
      </c>
      <c r="N34" s="530">
        <v>98.74</v>
      </c>
      <c r="O34" s="530">
        <v>85.87</v>
      </c>
      <c r="P34" s="530">
        <v>98.14</v>
      </c>
      <c r="Q34" s="530">
        <v>136.30000000000001</v>
      </c>
      <c r="R34" s="556"/>
    </row>
    <row r="35" spans="2:24" ht="28" thickBot="1">
      <c r="B35" s="539" t="s">
        <v>16</v>
      </c>
      <c r="C35" s="540"/>
      <c r="D35" s="540"/>
      <c r="E35" s="540"/>
      <c r="F35" s="540"/>
      <c r="G35" s="540"/>
      <c r="H35" s="540"/>
      <c r="I35" s="540"/>
      <c r="J35" s="540"/>
      <c r="K35" s="540"/>
      <c r="L35" s="540"/>
      <c r="M35" s="542">
        <f ca="1">SUM(M13:M34)</f>
        <v>6071.7352532293662</v>
      </c>
      <c r="N35" s="542">
        <f ca="1">SUM(N13:N34)</f>
        <v>7968.3301020545568</v>
      </c>
      <c r="O35" s="542">
        <f ca="1">SUM(O13:O34)</f>
        <v>9406.092001187908</v>
      </c>
      <c r="P35" s="542">
        <v>9443.06</v>
      </c>
      <c r="Q35" s="542">
        <v>9699.82</v>
      </c>
      <c r="R35" s="556"/>
    </row>
    <row r="36" spans="2:24">
      <c r="B36" s="2" t="s">
        <v>17</v>
      </c>
      <c r="M36" s="530"/>
      <c r="N36" s="530"/>
      <c r="O36" s="530"/>
      <c r="P36" s="530"/>
      <c r="Q36" s="530"/>
      <c r="R36" s="556"/>
    </row>
    <row r="37" spans="2:24">
      <c r="B37" s="1" t="s">
        <v>57</v>
      </c>
      <c r="C37" s="1" t="s">
        <v>18</v>
      </c>
      <c r="M37" s="530">
        <v>1734.28</v>
      </c>
      <c r="N37" s="530">
        <v>1911.37</v>
      </c>
      <c r="O37" s="530">
        <v>2024.2</v>
      </c>
      <c r="P37" s="530">
        <v>1946.97</v>
      </c>
      <c r="Q37" s="530">
        <v>2300.11</v>
      </c>
      <c r="R37" s="556"/>
      <c r="S37" s="610">
        <f>RATIOS!$N$103/365*'Fore - P&amp; L'!U14</f>
        <v>2694.4152736104938</v>
      </c>
      <c r="T37" s="610">
        <f>RATIOS!$N$103/365*'Fore - P&amp; L'!V14</f>
        <v>2963.8568009715432</v>
      </c>
      <c r="U37" s="610">
        <f>RATIOS!$N$103/365*'Fore - P&amp; L'!W14</f>
        <v>3260.2424810686975</v>
      </c>
      <c r="V37" s="610">
        <f>RATIOS!$N$103/365*'Fore - P&amp; L'!X14</f>
        <v>3586.266729175567</v>
      </c>
      <c r="W37" s="610">
        <f>RATIOS!$N$103/365*'Fore - P&amp; L'!Y14</f>
        <v>3944.8934020931247</v>
      </c>
      <c r="X37" s="610"/>
    </row>
    <row r="38" spans="2:24">
      <c r="C38" s="553" t="s">
        <v>622</v>
      </c>
      <c r="M38" s="554">
        <f ca="1">M37/$M$59</f>
        <v>0.15986924204672986</v>
      </c>
      <c r="N38" s="554">
        <f ca="1">N37/$N$59</f>
        <v>0.15558317552362866</v>
      </c>
      <c r="O38" s="554">
        <f ca="1">O37/$O$59</f>
        <v>0.14823501921611457</v>
      </c>
      <c r="P38" s="568">
        <f>P37/$P$59</f>
        <v>0.12874503725530131</v>
      </c>
      <c r="Q38" s="568">
        <f>Q37/$Q$59</f>
        <v>0.14169974889541087</v>
      </c>
      <c r="R38" s="556" t="s">
        <v>641</v>
      </c>
      <c r="S38" s="610"/>
      <c r="T38" s="610"/>
      <c r="U38" s="610"/>
      <c r="V38" s="610"/>
      <c r="W38" s="610"/>
      <c r="X38" s="610"/>
    </row>
    <row r="39" spans="2:24">
      <c r="B39" s="1" t="s">
        <v>58</v>
      </c>
      <c r="C39" s="1" t="s">
        <v>19</v>
      </c>
      <c r="M39" s="530"/>
      <c r="N39" s="530"/>
      <c r="O39" s="530"/>
      <c r="P39" s="530"/>
      <c r="Q39" s="530"/>
      <c r="R39" s="556"/>
      <c r="S39" s="610"/>
      <c r="T39" s="610"/>
      <c r="U39" s="610"/>
      <c r="V39" s="610"/>
      <c r="W39" s="610"/>
      <c r="X39" s="610"/>
    </row>
    <row r="40" spans="2:24">
      <c r="C40" s="1" t="s">
        <v>65</v>
      </c>
      <c r="D40" s="1" t="s">
        <v>20</v>
      </c>
      <c r="M40" s="530">
        <v>746.01</v>
      </c>
      <c r="N40" s="530">
        <v>854.56</v>
      </c>
      <c r="O40" s="530">
        <v>736.47</v>
      </c>
      <c r="P40" s="530">
        <v>1666.6</v>
      </c>
      <c r="Q40" s="530">
        <v>2087.5500000000002</v>
      </c>
      <c r="R40" s="556"/>
      <c r="S40" s="610"/>
      <c r="T40" s="610"/>
      <c r="U40" s="610"/>
      <c r="V40" s="610"/>
      <c r="W40" s="610"/>
      <c r="X40" s="610"/>
    </row>
    <row r="41" spans="2:24">
      <c r="C41" s="553"/>
      <c r="D41" s="553" t="s">
        <v>622</v>
      </c>
      <c r="M41" s="554">
        <f ca="1">M40/$M$59</f>
        <v>6.8768626322901122E-2</v>
      </c>
      <c r="N41" s="554">
        <f ca="1">N40/$N$59</f>
        <v>6.9560136695392377E-2</v>
      </c>
      <c r="O41" s="554">
        <f ca="1">O40/$O$59</f>
        <v>5.3932736193109329E-2</v>
      </c>
      <c r="P41" s="568">
        <f>P40/$P$59</f>
        <v>0.11020533397519486</v>
      </c>
      <c r="Q41" s="568">
        <f>Q40/$Q$59</f>
        <v>0.1286048540315963</v>
      </c>
      <c r="R41" s="556"/>
      <c r="S41" s="610"/>
      <c r="T41" s="610"/>
      <c r="U41" s="610"/>
      <c r="V41" s="610"/>
      <c r="W41" s="610"/>
      <c r="X41" s="610"/>
    </row>
    <row r="42" spans="2:24">
      <c r="C42" s="1" t="s">
        <v>66</v>
      </c>
      <c r="D42" s="1" t="s">
        <v>21</v>
      </c>
      <c r="M42" s="530">
        <v>561.58000000000004</v>
      </c>
      <c r="N42" s="530">
        <v>646.15</v>
      </c>
      <c r="O42" s="530">
        <v>848.75</v>
      </c>
      <c r="P42" s="530">
        <v>898.72</v>
      </c>
      <c r="Q42" s="530">
        <v>888.5</v>
      </c>
      <c r="R42" s="556"/>
      <c r="S42" s="610">
        <f>RATIOS!$N$102/365*'Fore - P&amp; L'!U12</f>
        <v>946.53417808219183</v>
      </c>
      <c r="T42" s="610">
        <f>RATIOS!$N$102/365*'Fore - P&amp; L'!V12</f>
        <v>1041.1875958904111</v>
      </c>
      <c r="U42" s="610">
        <f>RATIOS!$N$102/365*'Fore - P&amp; L'!W12</f>
        <v>1145.3063554794521</v>
      </c>
      <c r="V42" s="610">
        <f>RATIOS!$N$102/365*'Fore - P&amp; L'!X12</f>
        <v>1259.8369910273975</v>
      </c>
      <c r="W42" s="610">
        <f>RATIOS!$N$102/365*'Fore - P&amp; L'!Y12</f>
        <v>1385.8206901301373</v>
      </c>
      <c r="X42" s="610"/>
    </row>
    <row r="43" spans="2:24">
      <c r="D43" s="553" t="s">
        <v>622</v>
      </c>
      <c r="M43" s="554">
        <f ca="1">M42/$M$59</f>
        <v>5.1767516749661284E-2</v>
      </c>
      <c r="N43" s="554">
        <f ca="1">N42/$N$59</f>
        <v>5.2595818111926353E-2</v>
      </c>
      <c r="O43" s="554">
        <f ca="1">O42/$O$59</f>
        <v>6.2155158857660923E-2</v>
      </c>
      <c r="P43" s="568">
        <f>P42/$P$59</f>
        <v>5.9428619794904075E-2</v>
      </c>
      <c r="Q43" s="568">
        <f>Q42/$Q$59</f>
        <v>5.4736611246232809E-2</v>
      </c>
      <c r="R43" s="556" t="s">
        <v>642</v>
      </c>
    </row>
    <row r="44" spans="2:24">
      <c r="C44" s="1" t="s">
        <v>69</v>
      </c>
      <c r="D44" s="1" t="s">
        <v>22</v>
      </c>
      <c r="M44" s="530">
        <v>241.23</v>
      </c>
      <c r="N44" s="530">
        <v>255.91</v>
      </c>
      <c r="O44" s="530">
        <v>146.82</v>
      </c>
      <c r="P44" s="530">
        <v>247.6</v>
      </c>
      <c r="Q44" s="530">
        <v>184.27</v>
      </c>
      <c r="R44" s="556"/>
      <c r="S44" s="530">
        <f ca="1">S59*$R$45</f>
        <v>186.6992343003883</v>
      </c>
      <c r="T44" s="530">
        <f t="shared" ref="T44:W44" ca="1" si="1">T59*$R$45</f>
        <v>194.03778299909089</v>
      </c>
      <c r="U44" s="530">
        <f t="shared" ca="1" si="1"/>
        <v>201.97253719398273</v>
      </c>
      <c r="V44" s="530">
        <f t="shared" ca="1" si="1"/>
        <v>210.55692568127617</v>
      </c>
      <c r="W44" s="530">
        <f t="shared" ca="1" si="1"/>
        <v>219.84944161893546</v>
      </c>
    </row>
    <row r="45" spans="2:24">
      <c r="D45" s="553" t="s">
        <v>622</v>
      </c>
      <c r="M45" s="554">
        <f ca="1">M44/$M$59</f>
        <v>2.2237042034119428E-2</v>
      </c>
      <c r="N45" s="554">
        <f ca="1">N44/$N$59</f>
        <v>2.0830760369918863E-2</v>
      </c>
      <c r="O45" s="554">
        <f ca="1">O44/$O$59</f>
        <v>1.0751835550493994E-2</v>
      </c>
      <c r="P45" s="568">
        <f>P44/$P$59</f>
        <v>1.637275932572798E-2</v>
      </c>
      <c r="Q45" s="568">
        <f>Q44/$Q$59</f>
        <v>1.1352071304832101E-2</v>
      </c>
      <c r="R45" s="559">
        <f ca="1">AVERAGE(O45:Q45)</f>
        <v>1.2825555393684691E-2</v>
      </c>
      <c r="S45" s="530"/>
      <c r="T45" s="530"/>
      <c r="U45" s="530"/>
      <c r="V45" s="530"/>
      <c r="W45" s="530"/>
    </row>
    <row r="46" spans="2:24">
      <c r="C46" s="1" t="s">
        <v>70</v>
      </c>
      <c r="D46" s="1" t="s">
        <v>23</v>
      </c>
      <c r="M46" s="530">
        <v>1087.8</v>
      </c>
      <c r="N46" s="530">
        <v>314.23</v>
      </c>
      <c r="O46" s="530">
        <v>179.1</v>
      </c>
      <c r="P46" s="530">
        <v>418.76</v>
      </c>
      <c r="Q46" s="530">
        <v>393.74</v>
      </c>
      <c r="R46" s="556"/>
      <c r="S46" s="530">
        <f ca="1">S59*$R$47</f>
        <v>315.70436183798108</v>
      </c>
      <c r="T46" s="530">
        <f t="shared" ref="T46:W46" ca="1" si="2">T59*$R$47</f>
        <v>328.11368875580462</v>
      </c>
      <c r="U46" s="530">
        <f t="shared" ca="1" si="2"/>
        <v>341.53118625560211</v>
      </c>
      <c r="V46" s="530">
        <f t="shared" ca="1" si="2"/>
        <v>356.04720127465595</v>
      </c>
      <c r="W46" s="530">
        <f t="shared" ca="1" si="2"/>
        <v>371.76064447629147</v>
      </c>
    </row>
    <row r="47" spans="2:24">
      <c r="D47" s="553" t="s">
        <v>622</v>
      </c>
      <c r="M47" s="554">
        <f ca="1">M46/$M$59</f>
        <v>0.10027548117860596</v>
      </c>
      <c r="N47" s="554">
        <f ca="1">N46/$N$59</f>
        <v>2.5577936895938434E-2</v>
      </c>
      <c r="O47" s="554">
        <f ca="1">O46/$O$59</f>
        <v>1.3115745450847802E-2</v>
      </c>
      <c r="P47" s="568">
        <f>P46/$P$59</f>
        <v>2.7690859027632669E-2</v>
      </c>
      <c r="Q47" s="568">
        <f>Q46/$Q$59</f>
        <v>2.4256604740677219E-2</v>
      </c>
      <c r="R47" s="559">
        <f ca="1">AVERAGE(O47:Q47)</f>
        <v>2.1687736406385896E-2</v>
      </c>
    </row>
    <row r="48" spans="2:24">
      <c r="C48" s="1" t="s">
        <v>71</v>
      </c>
      <c r="D48" s="1" t="s">
        <v>24</v>
      </c>
      <c r="M48" s="530">
        <v>2.95</v>
      </c>
      <c r="N48" s="530">
        <v>36.21</v>
      </c>
      <c r="O48" s="530">
        <v>28.97</v>
      </c>
      <c r="P48" s="530">
        <v>42.51</v>
      </c>
      <c r="Q48" s="530">
        <v>44.02</v>
      </c>
      <c r="R48" s="556"/>
      <c r="S48" s="530">
        <v>44.02</v>
      </c>
      <c r="T48" s="530">
        <v>44.02</v>
      </c>
      <c r="U48" s="530">
        <v>44.02</v>
      </c>
      <c r="V48" s="530">
        <v>44.02</v>
      </c>
      <c r="W48" s="530">
        <v>44.02</v>
      </c>
    </row>
    <row r="49" spans="2:23">
      <c r="D49" s="553" t="s">
        <v>622</v>
      </c>
      <c r="M49" s="554">
        <f ca="1">M48/$M$59</f>
        <v>2.7193663309145764E-4</v>
      </c>
      <c r="N49" s="554">
        <f ca="1">N48/$N$59</f>
        <v>2.9474496228938376E-3</v>
      </c>
      <c r="O49" s="554">
        <f ca="1">O48/$O$59</f>
        <v>2.1215139347351246E-3</v>
      </c>
      <c r="P49" s="568">
        <f>P48/$P$59</f>
        <v>2.8110096887588704E-3</v>
      </c>
      <c r="Q49" s="568">
        <f>Q48/$Q$59</f>
        <v>2.7118802780632173E-3</v>
      </c>
      <c r="R49" s="556" t="s">
        <v>639</v>
      </c>
    </row>
    <row r="50" spans="2:23">
      <c r="C50" s="1" t="s">
        <v>70</v>
      </c>
      <c r="D50" s="1" t="s">
        <v>577</v>
      </c>
      <c r="M50" s="530">
        <v>14.46</v>
      </c>
      <c r="N50" s="530"/>
      <c r="O50" s="530"/>
      <c r="P50" s="530"/>
      <c r="Q50" s="530"/>
      <c r="R50" s="556"/>
    </row>
    <row r="51" spans="2:23">
      <c r="D51" s="553" t="s">
        <v>622</v>
      </c>
      <c r="M51" s="554">
        <f ca="1">M50/$M$59</f>
        <v>1.332950411695755E-3</v>
      </c>
      <c r="N51" s="554">
        <f ca="1">N50/$N$59</f>
        <v>0</v>
      </c>
      <c r="O51" s="554">
        <f ca="1">O50/$O$59</f>
        <v>0</v>
      </c>
      <c r="P51" s="568">
        <f>P50/$P$59</f>
        <v>0</v>
      </c>
      <c r="Q51" s="568">
        <f>Q50/$Q$59</f>
        <v>0</v>
      </c>
      <c r="R51" s="556"/>
    </row>
    <row r="52" spans="2:23">
      <c r="B52" s="1" t="s">
        <v>59</v>
      </c>
      <c r="C52" s="1" t="s">
        <v>25</v>
      </c>
      <c r="M52" s="530">
        <v>0.24</v>
      </c>
      <c r="N52" s="530">
        <v>0.64</v>
      </c>
      <c r="O52" s="530">
        <v>6.43</v>
      </c>
      <c r="P52" s="530">
        <v>0.08</v>
      </c>
      <c r="Q52" s="530">
        <v>2.56</v>
      </c>
      <c r="R52" s="556" t="s">
        <v>647</v>
      </c>
    </row>
    <row r="53" spans="2:23">
      <c r="C53" s="553" t="s">
        <v>622</v>
      </c>
      <c r="M53" s="568">
        <f ca="1">M52/$M$59</f>
        <v>2.212365828540672E-5</v>
      </c>
      <c r="N53" s="568">
        <f ca="1">N52/$N$59</f>
        <v>5.2095215649048777E-5</v>
      </c>
      <c r="O53" s="568">
        <f ca="1">O52/$O$59</f>
        <v>4.7087796342239733E-4</v>
      </c>
      <c r="P53" s="568">
        <f>P52/$P$59</f>
        <v>5.2900676335146947E-6</v>
      </c>
      <c r="Q53" s="568">
        <f>Q52/$Q$59</f>
        <v>1.5771043870608441E-4</v>
      </c>
      <c r="R53" s="556"/>
    </row>
    <row r="54" spans="2:23">
      <c r="B54" s="1" t="s">
        <v>60</v>
      </c>
      <c r="C54" s="1" t="s">
        <v>26</v>
      </c>
      <c r="M54" s="530">
        <v>387.12</v>
      </c>
      <c r="N54" s="530">
        <v>297.47000000000003</v>
      </c>
      <c r="O54" s="530">
        <v>278.22000000000003</v>
      </c>
      <c r="P54" s="530">
        <v>458.38</v>
      </c>
      <c r="Q54" s="530">
        <v>631.71</v>
      </c>
      <c r="R54" s="556"/>
      <c r="S54" s="530">
        <v>631.71</v>
      </c>
      <c r="T54" s="530">
        <v>631.71</v>
      </c>
      <c r="U54" s="530">
        <v>631.71</v>
      </c>
      <c r="V54" s="530">
        <v>631.71</v>
      </c>
      <c r="W54" s="530">
        <v>631.71</v>
      </c>
    </row>
    <row r="55" spans="2:23">
      <c r="C55" s="553" t="s">
        <v>622</v>
      </c>
      <c r="M55" s="568">
        <f ca="1">M54/$M$59</f>
        <v>3.5685460814361039E-2</v>
      </c>
      <c r="N55" s="568">
        <f ca="1">N54/$N$59</f>
        <v>2.4213693436128968E-2</v>
      </c>
      <c r="O55" s="568">
        <f ca="1">O54/$O$59</f>
        <v>2.0374442765688866E-2</v>
      </c>
      <c r="P55" s="568">
        <f>P54/$P$59</f>
        <v>3.031076502313082E-2</v>
      </c>
      <c r="Q55" s="568">
        <f>Q54/$Q$59</f>
        <v>3.8916898919929915E-2</v>
      </c>
      <c r="R55" s="556" t="s">
        <v>639</v>
      </c>
    </row>
    <row r="56" spans="2:23">
      <c r="B56" s="1" t="s">
        <v>61</v>
      </c>
      <c r="C56" s="1" t="s">
        <v>578</v>
      </c>
      <c r="M56" s="530">
        <v>0.27</v>
      </c>
      <c r="N56" s="530"/>
      <c r="O56" s="530"/>
      <c r="P56" s="530"/>
      <c r="Q56" s="530"/>
      <c r="R56" s="556"/>
    </row>
    <row r="57" spans="2:23">
      <c r="C57" s="553" t="s">
        <v>622</v>
      </c>
      <c r="M57" s="530"/>
      <c r="N57" s="530"/>
      <c r="O57" s="530"/>
      <c r="P57" s="530"/>
      <c r="Q57" s="530"/>
      <c r="R57" s="556"/>
    </row>
    <row r="58" spans="2:23">
      <c r="B58" s="2" t="s">
        <v>27</v>
      </c>
      <c r="M58" s="526">
        <f ca="1">SUM(M37:M56)</f>
        <v>4776.3802303798502</v>
      </c>
      <c r="N58" s="526">
        <f ca="1">SUM(N37:N54)</f>
        <v>4316.8671473724353</v>
      </c>
      <c r="O58" s="526">
        <f ca="1">SUM(O37:O54)</f>
        <v>4249.2507828871658</v>
      </c>
      <c r="P58" s="526">
        <v>5679.62</v>
      </c>
      <c r="Q58" s="526">
        <v>6532.46</v>
      </c>
      <c r="R58" s="556"/>
    </row>
    <row r="59" spans="2:23" ht="28" thickBot="1">
      <c r="B59" s="612" t="s">
        <v>28</v>
      </c>
      <c r="C59" s="613"/>
      <c r="D59" s="613"/>
      <c r="E59" s="613"/>
      <c r="F59" s="613"/>
      <c r="G59" s="613"/>
      <c r="H59" s="613"/>
      <c r="I59" s="613"/>
      <c r="J59" s="613"/>
      <c r="K59" s="613"/>
      <c r="L59" s="613"/>
      <c r="M59" s="614">
        <f ca="1">SUM(M58,M35)</f>
        <v>10848.115483609217</v>
      </c>
      <c r="N59" s="614">
        <f ca="1">N58+N35</f>
        <v>12285.197249426992</v>
      </c>
      <c r="O59" s="614">
        <f ca="1">SUM(O58,O35)</f>
        <v>13655.342784075074</v>
      </c>
      <c r="P59" s="614">
        <v>15122.68</v>
      </c>
      <c r="Q59" s="614">
        <v>16232.28</v>
      </c>
      <c r="R59" s="615"/>
      <c r="S59" s="614">
        <f ca="1">SUM(S13:S54)</f>
        <v>14556.814778743934</v>
      </c>
      <c r="T59" s="614">
        <f ca="1">SUM(T13:T54)</f>
        <v>15128.996526313018</v>
      </c>
      <c r="U59" s="614">
        <f t="shared" ref="U59:W59" ca="1" si="3">SUM(U13:U54)</f>
        <v>15747.664018778796</v>
      </c>
      <c r="V59" s="614">
        <f t="shared" ca="1" si="3"/>
        <v>16416.983063747437</v>
      </c>
      <c r="W59" s="614">
        <f t="shared" ca="1" si="3"/>
        <v>17141.514333733212</v>
      </c>
    </row>
    <row r="60" spans="2:23">
      <c r="B60" s="529" t="s">
        <v>29</v>
      </c>
      <c r="M60" s="530"/>
      <c r="N60" s="530"/>
      <c r="O60" s="530"/>
      <c r="P60" s="530"/>
      <c r="Q60" s="530"/>
      <c r="R60" s="556"/>
    </row>
    <row r="61" spans="2:23">
      <c r="B61" s="2" t="s">
        <v>30</v>
      </c>
      <c r="M61" s="530"/>
      <c r="N61" s="530"/>
      <c r="O61" s="530"/>
      <c r="P61" s="530"/>
      <c r="Q61" s="530"/>
      <c r="R61" s="556"/>
    </row>
    <row r="62" spans="2:23">
      <c r="B62" s="1" t="s">
        <v>57</v>
      </c>
      <c r="C62" s="1" t="s">
        <v>31</v>
      </c>
      <c r="M62" s="530">
        <v>176.74</v>
      </c>
      <c r="N62" s="530">
        <v>176.79</v>
      </c>
      <c r="O62" s="530">
        <v>177.18</v>
      </c>
      <c r="P62" s="530">
        <v>177.2</v>
      </c>
      <c r="Q62" s="530">
        <v>177.23</v>
      </c>
      <c r="R62" s="556"/>
      <c r="S62" s="530">
        <v>177.23</v>
      </c>
      <c r="T62" s="530">
        <v>177.23</v>
      </c>
      <c r="U62" s="530">
        <v>177.23</v>
      </c>
      <c r="V62" s="530">
        <v>177.23</v>
      </c>
      <c r="W62" s="530">
        <v>177.23</v>
      </c>
    </row>
    <row r="63" spans="2:23">
      <c r="B63" s="1" t="s">
        <v>58</v>
      </c>
      <c r="C63" s="1" t="s">
        <v>32</v>
      </c>
      <c r="M63" s="530">
        <v>7486.79</v>
      </c>
      <c r="N63" s="530">
        <v>8204.51</v>
      </c>
      <c r="O63" s="530">
        <v>8796.08</v>
      </c>
      <c r="P63" s="530">
        <v>9689.1</v>
      </c>
      <c r="Q63" s="530">
        <v>10623.46</v>
      </c>
      <c r="R63" s="564">
        <v>0.1</v>
      </c>
      <c r="S63" s="530">
        <f>Q63*(1+$R$63)</f>
        <v>11685.806</v>
      </c>
      <c r="T63" s="530">
        <f>S63*(1+$R$63)</f>
        <v>12854.386600000002</v>
      </c>
      <c r="U63" s="530">
        <f t="shared" ref="U63:W63" si="4">T63*(1+$R$63)</f>
        <v>14139.825260000003</v>
      </c>
      <c r="V63" s="530">
        <f t="shared" si="4"/>
        <v>15553.807786000005</v>
      </c>
      <c r="W63" s="530">
        <f t="shared" si="4"/>
        <v>17109.188564600008</v>
      </c>
    </row>
    <row r="64" spans="2:23">
      <c r="B64" s="2" t="s">
        <v>33</v>
      </c>
      <c r="M64" s="526">
        <f>SUM(M62:M63)</f>
        <v>7663.53</v>
      </c>
      <c r="N64" s="526">
        <f>SUM(N62:N63)</f>
        <v>8381.3000000000011</v>
      </c>
      <c r="O64" s="526">
        <f>SUM(O62:O63)</f>
        <v>8973.26</v>
      </c>
      <c r="P64" s="526">
        <v>9866.2999999999993</v>
      </c>
      <c r="Q64" s="526">
        <v>10800.69</v>
      </c>
      <c r="R64" s="556"/>
      <c r="S64" s="526">
        <f>S63+S62</f>
        <v>11863.036</v>
      </c>
      <c r="T64" s="526">
        <f t="shared" ref="T64:W64" si="5">T63+T62</f>
        <v>13031.616600000001</v>
      </c>
      <c r="U64" s="526">
        <f t="shared" si="5"/>
        <v>14317.055260000003</v>
      </c>
      <c r="V64" s="526">
        <f t="shared" si="5"/>
        <v>15731.037786000004</v>
      </c>
      <c r="W64" s="526">
        <f t="shared" si="5"/>
        <v>17286.418564600008</v>
      </c>
    </row>
    <row r="65" spans="2:23">
      <c r="B65" s="2"/>
      <c r="C65" s="553" t="s">
        <v>622</v>
      </c>
      <c r="M65" s="568">
        <f ca="1">M64/$M$59</f>
        <v>0.70643882908317901</v>
      </c>
      <c r="N65" s="568">
        <f ca="1">N64/$N$59</f>
        <v>0.68222754831151966</v>
      </c>
      <c r="O65" s="568">
        <f ca="1">O64/$O$59</f>
        <v>0.6571244780808182</v>
      </c>
      <c r="P65" s="568">
        <f>P64/$P$59</f>
        <v>0.65241742865682528</v>
      </c>
      <c r="Q65" s="568">
        <f>Q64/$Q$59</f>
        <v>0.66538342118297611</v>
      </c>
      <c r="R65" s="556"/>
    </row>
    <row r="66" spans="2:23">
      <c r="B66" s="1" t="s">
        <v>59</v>
      </c>
      <c r="C66" s="1" t="s">
        <v>34</v>
      </c>
      <c r="M66" s="530">
        <v>36.69</v>
      </c>
      <c r="N66" s="530">
        <v>40.549999999999997</v>
      </c>
      <c r="O66" s="530">
        <v>468.17</v>
      </c>
      <c r="P66" s="530">
        <v>436.78</v>
      </c>
      <c r="Q66" s="530">
        <v>409.57</v>
      </c>
      <c r="R66" s="556"/>
      <c r="S66" s="530">
        <v>409.57</v>
      </c>
      <c r="T66" s="530">
        <v>409.57</v>
      </c>
      <c r="U66" s="530">
        <v>409.57</v>
      </c>
      <c r="V66" s="530">
        <v>409.57</v>
      </c>
      <c r="W66" s="530">
        <v>409.57</v>
      </c>
    </row>
    <row r="67" spans="2:23">
      <c r="C67" s="553" t="s">
        <v>622</v>
      </c>
      <c r="M67" s="568">
        <f ca="1">M66/$M$59</f>
        <v>3.3821542603815523E-3</v>
      </c>
      <c r="N67" s="568">
        <f ca="1">N66/$N$59</f>
        <v>3.3007203040139495E-3</v>
      </c>
      <c r="O67" s="568">
        <f ca="1">O66/$O$59</f>
        <v>3.4284749010180991E-2</v>
      </c>
      <c r="P67" s="568">
        <f>P66/$P$59</f>
        <v>2.8882446762081852E-2</v>
      </c>
      <c r="Q67" s="568">
        <f>Q66/$Q$59</f>
        <v>2.5231822023769918E-2</v>
      </c>
      <c r="R67" s="556"/>
    </row>
    <row r="68" spans="2:23" ht="28" thickBot="1">
      <c r="B68" s="539" t="s">
        <v>35</v>
      </c>
      <c r="C68" s="540"/>
      <c r="D68" s="540"/>
      <c r="E68" s="540"/>
      <c r="F68" s="540"/>
      <c r="G68" s="540"/>
      <c r="H68" s="540"/>
      <c r="I68" s="540"/>
      <c r="J68" s="540"/>
      <c r="K68" s="540"/>
      <c r="L68" s="540"/>
      <c r="M68" s="542">
        <f ca="1">SUM(M64:M66)</f>
        <v>7700.9264388290821</v>
      </c>
      <c r="N68" s="542">
        <f ca="1">SUM(N64:N66)</f>
        <v>8422.5322275483122</v>
      </c>
      <c r="O68" s="542">
        <f ca="1">SUM(O64:O66)</f>
        <v>9442.087124478081</v>
      </c>
      <c r="P68" s="542">
        <v>10303.08</v>
      </c>
      <c r="Q68" s="542">
        <v>11210.26</v>
      </c>
      <c r="R68" s="556"/>
    </row>
    <row r="69" spans="2:23">
      <c r="B69" s="2" t="s">
        <v>36</v>
      </c>
      <c r="M69" s="530"/>
      <c r="N69" s="530"/>
      <c r="O69" s="530"/>
      <c r="P69" s="530"/>
      <c r="Q69" s="530"/>
      <c r="R69" s="556"/>
    </row>
    <row r="70" spans="2:23">
      <c r="B70" s="2" t="s">
        <v>37</v>
      </c>
      <c r="M70" s="530"/>
      <c r="N70" s="530"/>
      <c r="O70" s="530"/>
      <c r="P70" s="530"/>
      <c r="Q70" s="530"/>
      <c r="R70" s="556"/>
    </row>
    <row r="71" spans="2:23">
      <c r="B71" s="3" t="s">
        <v>57</v>
      </c>
      <c r="C71" s="1" t="s">
        <v>38</v>
      </c>
      <c r="M71" s="530"/>
      <c r="N71" s="530"/>
      <c r="O71" s="530"/>
      <c r="P71" s="530"/>
      <c r="Q71" s="530"/>
      <c r="R71" s="556"/>
    </row>
    <row r="72" spans="2:23">
      <c r="C72" s="1" t="s">
        <v>65</v>
      </c>
      <c r="D72" s="1" t="s">
        <v>39</v>
      </c>
      <c r="M72" s="530">
        <v>134.13</v>
      </c>
      <c r="N72" s="530">
        <v>250.36</v>
      </c>
      <c r="O72" s="530">
        <v>298.83999999999997</v>
      </c>
      <c r="P72" s="530">
        <v>535.97</v>
      </c>
      <c r="Q72" s="530">
        <v>304.02999999999997</v>
      </c>
      <c r="R72" s="556"/>
      <c r="S72" s="530">
        <f ca="1">S59*$R$73</f>
        <v>291.13629557487866</v>
      </c>
      <c r="T72" s="530">
        <f t="shared" ref="T72:W72" ca="1" si="6">T59*$R$73</f>
        <v>302.57993052626034</v>
      </c>
      <c r="U72" s="530">
        <f t="shared" ca="1" si="6"/>
        <v>314.95328037557596</v>
      </c>
      <c r="V72" s="530">
        <f t="shared" ca="1" si="6"/>
        <v>328.33966127494875</v>
      </c>
      <c r="W72" s="530">
        <f t="shared" ca="1" si="6"/>
        <v>342.83028667466425</v>
      </c>
    </row>
    <row r="73" spans="2:23">
      <c r="C73" s="553"/>
      <c r="D73" s="553" t="s">
        <v>622</v>
      </c>
      <c r="M73" s="568">
        <f ca="1">M72/$M$59</f>
        <v>1.2364359524256682E-2</v>
      </c>
      <c r="N73" s="568">
        <f ca="1">N72/$N$59</f>
        <v>2.0378997171712269E-2</v>
      </c>
      <c r="O73" s="568">
        <f ca="1">O72/$O$59</f>
        <v>2.1884474430660841E-2</v>
      </c>
      <c r="P73" s="568">
        <f>P72/$P$59</f>
        <v>3.5441469369185886E-2</v>
      </c>
      <c r="Q73" s="568">
        <f>Q72/$Q$59</f>
        <v>1.8729962765551108E-2</v>
      </c>
      <c r="R73" s="564">
        <v>0.02</v>
      </c>
    </row>
    <row r="74" spans="2:23">
      <c r="C74" s="1" t="s">
        <v>66</v>
      </c>
      <c r="D74" s="1" t="s">
        <v>40</v>
      </c>
      <c r="M74" s="530"/>
      <c r="N74" s="530">
        <v>139.58000000000001</v>
      </c>
      <c r="O74" s="530">
        <v>144.36000000000001</v>
      </c>
      <c r="P74" s="530">
        <v>170.27</v>
      </c>
      <c r="Q74" s="530">
        <v>181.92</v>
      </c>
      <c r="R74" s="556"/>
      <c r="S74" s="530">
        <f ca="1">S59*$R$75</f>
        <v>174.68177734492721</v>
      </c>
      <c r="T74" s="530">
        <f t="shared" ref="T74:W74" ca="1" si="7">T59*$R$75</f>
        <v>181.54795831575623</v>
      </c>
      <c r="U74" s="530">
        <f t="shared" ca="1" si="7"/>
        <v>188.97196822534556</v>
      </c>
      <c r="V74" s="530">
        <f t="shared" ca="1" si="7"/>
        <v>197.00379676496925</v>
      </c>
      <c r="W74" s="530">
        <f t="shared" ca="1" si="7"/>
        <v>205.69817200479855</v>
      </c>
    </row>
    <row r="75" spans="2:23">
      <c r="D75" s="553" t="s">
        <v>622</v>
      </c>
      <c r="M75" s="568">
        <f ca="1">M74/$M$59</f>
        <v>0</v>
      </c>
      <c r="N75" s="568">
        <f ca="1">N74/$N$59</f>
        <v>1.1361640937959732E-2</v>
      </c>
      <c r="O75" s="568">
        <f ca="1">O74/$O$59</f>
        <v>1.0571686282994913E-2</v>
      </c>
      <c r="P75" s="568">
        <f>P74/$P$59</f>
        <v>1.1259247699481839E-2</v>
      </c>
      <c r="Q75" s="568">
        <f>Q74/$Q$59</f>
        <v>1.1207298050551123E-2</v>
      </c>
      <c r="R75" s="557">
        <v>1.2E-2</v>
      </c>
    </row>
    <row r="76" spans="2:23">
      <c r="C76" s="1" t="s">
        <v>69</v>
      </c>
      <c r="D76" s="1" t="s">
        <v>41</v>
      </c>
      <c r="M76" s="530">
        <v>1.37</v>
      </c>
      <c r="N76" s="530">
        <v>4.25</v>
      </c>
      <c r="O76" s="530">
        <v>4.95</v>
      </c>
      <c r="P76" s="530">
        <v>5.59</v>
      </c>
      <c r="Q76" s="530">
        <v>1.91</v>
      </c>
      <c r="R76" s="556"/>
    </row>
    <row r="77" spans="2:23">
      <c r="D77" s="553" t="s">
        <v>622</v>
      </c>
      <c r="M77" s="568">
        <f ca="1">M76/$M$59</f>
        <v>1.2628921604586338E-4</v>
      </c>
      <c r="N77" s="568">
        <f ca="1">N76/$N$59</f>
        <v>3.4594479141946452E-4</v>
      </c>
      <c r="O77" s="568">
        <f ca="1">O76/$O$59</f>
        <v>3.6249547728473827E-4</v>
      </c>
      <c r="P77" s="568">
        <f>P76/$P$59</f>
        <v>3.6964347589183924E-4</v>
      </c>
      <c r="Q77" s="568">
        <f>Q76/$Q$59</f>
        <v>1.1766677262836766E-4</v>
      </c>
      <c r="R77" s="556"/>
    </row>
    <row r="78" spans="2:23">
      <c r="B78" s="1" t="s">
        <v>58</v>
      </c>
      <c r="C78" s="1" t="s">
        <v>42</v>
      </c>
      <c r="M78" s="530">
        <v>63.31</v>
      </c>
      <c r="N78" s="530">
        <v>63.68</v>
      </c>
      <c r="O78" s="530">
        <v>64.37</v>
      </c>
      <c r="P78" s="530">
        <v>68.31</v>
      </c>
      <c r="Q78" s="530">
        <v>71.45</v>
      </c>
      <c r="R78" s="556"/>
      <c r="S78" s="530">
        <v>71.45</v>
      </c>
      <c r="T78" s="530">
        <v>71.45</v>
      </c>
      <c r="U78" s="530">
        <v>71.45</v>
      </c>
      <c r="V78" s="530">
        <v>71.45</v>
      </c>
      <c r="W78" s="530">
        <v>71.45</v>
      </c>
    </row>
    <row r="79" spans="2:23">
      <c r="C79" s="553" t="s">
        <v>622</v>
      </c>
      <c r="M79" s="568">
        <f ca="1">M78/$M$59</f>
        <v>5.836036691871248E-3</v>
      </c>
      <c r="N79" s="568">
        <f ca="1">N78/$N$59</f>
        <v>5.1834739570803534E-3</v>
      </c>
      <c r="O79" s="568">
        <f ca="1">O78/$O$59</f>
        <v>4.7139058328926463E-3</v>
      </c>
      <c r="P79" s="568">
        <f>P78/$P$59</f>
        <v>4.5170565005673595E-3</v>
      </c>
      <c r="Q79" s="568">
        <f>Q78/$Q$59</f>
        <v>4.4017229865428642E-3</v>
      </c>
      <c r="R79" s="556"/>
    </row>
    <row r="80" spans="2:23">
      <c r="B80" s="1" t="s">
        <v>59</v>
      </c>
      <c r="C80" s="1" t="s">
        <v>43</v>
      </c>
      <c r="M80" s="530">
        <v>13.91</v>
      </c>
      <c r="N80" s="530">
        <v>82.27</v>
      </c>
      <c r="O80" s="530">
        <v>90.99</v>
      </c>
      <c r="P80" s="530">
        <v>109.03</v>
      </c>
      <c r="Q80" s="530">
        <v>144.27000000000001</v>
      </c>
      <c r="R80" s="556"/>
    </row>
    <row r="81" spans="2:24" ht="28" thickBot="1">
      <c r="B81" s="539" t="s">
        <v>44</v>
      </c>
      <c r="C81" s="540"/>
      <c r="D81" s="540"/>
      <c r="E81" s="540"/>
      <c r="F81" s="540"/>
      <c r="G81" s="540"/>
      <c r="H81" s="540"/>
      <c r="I81" s="540"/>
      <c r="J81" s="540"/>
      <c r="K81" s="540"/>
      <c r="L81" s="540"/>
      <c r="M81" s="542">
        <f ca="1">SUM(M72:M80)</f>
        <v>212.73832668543218</v>
      </c>
      <c r="N81" s="542">
        <f ca="1">SUM(N72:N80)</f>
        <v>540.17727005685822</v>
      </c>
      <c r="O81" s="542">
        <f ca="1">SUM(O72:O80)</f>
        <v>603.54753256202389</v>
      </c>
      <c r="P81" s="542">
        <v>889.17</v>
      </c>
      <c r="Q81" s="542">
        <v>703.58</v>
      </c>
      <c r="R81" s="556"/>
    </row>
    <row r="82" spans="2:24">
      <c r="B82" s="2" t="s">
        <v>47</v>
      </c>
      <c r="M82" s="530"/>
      <c r="N82" s="530"/>
      <c r="O82" s="530"/>
      <c r="P82" s="530"/>
      <c r="Q82" s="530"/>
      <c r="R82" s="556"/>
    </row>
    <row r="83" spans="2:24">
      <c r="B83" s="1" t="s">
        <v>57</v>
      </c>
      <c r="C83" s="1" t="s">
        <v>38</v>
      </c>
      <c r="M83" s="530"/>
      <c r="N83" s="530"/>
      <c r="O83" s="530"/>
      <c r="P83" s="530"/>
      <c r="Q83" s="530"/>
      <c r="R83" s="556"/>
    </row>
    <row r="84" spans="2:24">
      <c r="C84" s="1" t="s">
        <v>65</v>
      </c>
      <c r="D84" s="1" t="s">
        <v>48</v>
      </c>
      <c r="M84" s="530">
        <v>349.14</v>
      </c>
      <c r="N84" s="530">
        <v>617.29</v>
      </c>
      <c r="O84" s="530">
        <v>700.18</v>
      </c>
      <c r="P84" s="530">
        <v>622.1</v>
      </c>
      <c r="Q84" s="530">
        <v>426.09</v>
      </c>
      <c r="R84" s="556"/>
      <c r="S84" s="530">
        <f ca="1">S59*$R$85</f>
        <v>436.70444336231799</v>
      </c>
      <c r="T84" s="530">
        <f t="shared" ref="T84:W84" ca="1" si="8">T59*$R$85</f>
        <v>453.86989578939051</v>
      </c>
      <c r="U84" s="530">
        <f t="shared" ca="1" si="8"/>
        <v>472.42992056336385</v>
      </c>
      <c r="V84" s="530">
        <f t="shared" ca="1" si="8"/>
        <v>492.50949191242307</v>
      </c>
      <c r="W84" s="530">
        <f t="shared" ca="1" si="8"/>
        <v>514.24543001199629</v>
      </c>
    </row>
    <row r="85" spans="2:24">
      <c r="D85" s="553" t="s">
        <v>622</v>
      </c>
      <c r="M85" s="568">
        <f ca="1">M84/$M$59</f>
        <v>3.2184391890695427E-2</v>
      </c>
      <c r="N85" s="568">
        <f ca="1">N84/$N$59</f>
        <v>5.0246649481252056E-2</v>
      </c>
      <c r="O85" s="568">
        <f ca="1">O84/$O$59</f>
        <v>5.1275168340450102E-2</v>
      </c>
      <c r="P85" s="568">
        <f>P84/$P$59</f>
        <v>4.1136888435118646E-2</v>
      </c>
      <c r="Q85" s="568">
        <f>Q84/$Q$59</f>
        <v>2.6249547198545119E-2</v>
      </c>
      <c r="R85" s="564">
        <v>0.03</v>
      </c>
    </row>
    <row r="86" spans="2:24">
      <c r="C86" s="1" t="s">
        <v>66</v>
      </c>
      <c r="D86" s="1" t="s">
        <v>40</v>
      </c>
      <c r="M86" s="530"/>
      <c r="N86" s="530">
        <v>22.87</v>
      </c>
      <c r="O86" s="530">
        <v>30.41</v>
      </c>
      <c r="P86" s="530">
        <v>36.75</v>
      </c>
      <c r="Q86" s="530">
        <v>38.33</v>
      </c>
      <c r="R86" s="556"/>
      <c r="S86" s="530">
        <f ca="1">S59*$R$87</f>
        <v>32.024992513236654</v>
      </c>
      <c r="T86" s="530">
        <f t="shared" ref="T86:W86" ca="1" si="9">T59*$R$87</f>
        <v>33.283792357888643</v>
      </c>
      <c r="U86" s="530">
        <f t="shared" ca="1" si="9"/>
        <v>34.644860841313353</v>
      </c>
      <c r="V86" s="530">
        <f t="shared" ca="1" si="9"/>
        <v>36.11736274024436</v>
      </c>
      <c r="W86" s="530">
        <f t="shared" ca="1" si="9"/>
        <v>37.711331534213066</v>
      </c>
    </row>
    <row r="87" spans="2:24">
      <c r="D87" s="553" t="s">
        <v>622</v>
      </c>
      <c r="M87" s="568">
        <f ca="1">M86/$M$59</f>
        <v>0</v>
      </c>
      <c r="N87" s="568">
        <f ca="1">N86/$N$59</f>
        <v>1.8615899717089775E-3</v>
      </c>
      <c r="O87" s="568">
        <f ca="1">O86/$O$59</f>
        <v>2.2269671644906848E-3</v>
      </c>
      <c r="P87" s="568">
        <f>P86/$P$59</f>
        <v>2.4301248191458129E-3</v>
      </c>
      <c r="Q87" s="568">
        <f>Q86/$Q$59</f>
        <v>2.3613441857828965E-3</v>
      </c>
      <c r="R87" s="557">
        <v>2.2000000000000001E-3</v>
      </c>
    </row>
    <row r="88" spans="2:24">
      <c r="C88" s="1" t="s">
        <v>69</v>
      </c>
      <c r="D88" s="1" t="s">
        <v>49</v>
      </c>
      <c r="M88" s="568"/>
      <c r="N88" s="568"/>
      <c r="O88" s="568"/>
      <c r="P88" s="568"/>
      <c r="Q88" s="568"/>
      <c r="R88" s="556"/>
      <c r="S88" s="611">
        <f>RATIOS!$N$104/365*'Fore - P&amp; L'!U14</f>
        <v>3392.9673815835845</v>
      </c>
      <c r="T88" s="611">
        <f>RATIOS!$N$104/365*'Fore - P&amp; L'!V14</f>
        <v>3732.2641197419434</v>
      </c>
      <c r="U88" s="611">
        <f>RATIOS!$N$104/365*'Fore - P&amp; L'!W14</f>
        <v>4105.4905317161374</v>
      </c>
      <c r="V88" s="611">
        <f>RATIOS!$N$104/365*'Fore - P&amp; L'!X14</f>
        <v>4516.0395848877515</v>
      </c>
      <c r="W88" s="611">
        <f>RATIOS!$N$104/365*'Fore - P&amp; L'!Y14</f>
        <v>4967.6435433765273</v>
      </c>
      <c r="X88" s="611"/>
    </row>
    <row r="89" spans="2:24">
      <c r="D89" s="1" t="s">
        <v>50</v>
      </c>
      <c r="M89" s="530">
        <v>117.87</v>
      </c>
      <c r="N89" s="530">
        <v>147.22</v>
      </c>
      <c r="O89" s="530">
        <v>165.24</v>
      </c>
      <c r="P89" s="530">
        <v>184.98</v>
      </c>
      <c r="Q89" s="530">
        <v>132.49</v>
      </c>
      <c r="R89" s="556"/>
    </row>
    <row r="90" spans="2:24">
      <c r="D90" s="1" t="s">
        <v>51</v>
      </c>
      <c r="M90" s="530">
        <v>1797.39</v>
      </c>
      <c r="N90" s="530">
        <v>1870.73</v>
      </c>
      <c r="O90" s="530">
        <v>2021.37</v>
      </c>
      <c r="P90" s="530">
        <v>2236.73</v>
      </c>
      <c r="Q90" s="530">
        <v>2692.85</v>
      </c>
      <c r="R90" s="556"/>
    </row>
    <row r="91" spans="2:24">
      <c r="D91" s="553" t="s">
        <v>622</v>
      </c>
      <c r="M91" s="568">
        <f ca="1">(M89+M90)/M59</f>
        <v>0.17655232403211701</v>
      </c>
      <c r="N91" s="568">
        <f t="shared" ref="N91:Q91" ca="1" si="10">(N89+N90)/N59</f>
        <v>0.16425865690468433</v>
      </c>
      <c r="O91" s="568">
        <f t="shared" ca="1" si="10"/>
        <v>0.16012853244153158</v>
      </c>
      <c r="P91" s="568">
        <f t="shared" si="10"/>
        <v>0.16013762110948587</v>
      </c>
      <c r="Q91" s="568">
        <f t="shared" si="10"/>
        <v>0.17405687925540958</v>
      </c>
      <c r="R91" s="556" t="s">
        <v>645</v>
      </c>
    </row>
    <row r="92" spans="2:24">
      <c r="C92" s="1" t="s">
        <v>70</v>
      </c>
      <c r="D92" s="1" t="s">
        <v>41</v>
      </c>
      <c r="M92" s="530">
        <v>238.93</v>
      </c>
      <c r="N92" s="530">
        <v>251.95</v>
      </c>
      <c r="O92" s="530">
        <v>279.83999999999997</v>
      </c>
      <c r="P92" s="530">
        <v>312.60000000000002</v>
      </c>
      <c r="Q92" s="530">
        <v>367.1</v>
      </c>
      <c r="R92" s="556"/>
      <c r="S92" s="530">
        <v>367.1</v>
      </c>
      <c r="T92" s="530">
        <v>367.1</v>
      </c>
      <c r="U92" s="530">
        <v>367.1</v>
      </c>
      <c r="V92" s="530">
        <v>367.1</v>
      </c>
      <c r="W92" s="530">
        <v>367.1</v>
      </c>
    </row>
    <row r="93" spans="2:24">
      <c r="D93" s="553" t="s">
        <v>622</v>
      </c>
      <c r="M93" s="568">
        <f ca="1">M92/$M$59</f>
        <v>2.2025023642217617E-2</v>
      </c>
      <c r="N93" s="568">
        <f ca="1">N92/$N$59</f>
        <v>2.0508421223090371E-2</v>
      </c>
      <c r="O93" s="568">
        <f ca="1">O92/$O$59</f>
        <v>2.0493077649163867E-2</v>
      </c>
      <c r="P93" s="568">
        <f>P92/$P$59</f>
        <v>2.0670939277958669E-2</v>
      </c>
      <c r="Q93" s="568">
        <f>Q92/$Q$59</f>
        <v>2.2615430487892028E-2</v>
      </c>
      <c r="R93" s="556"/>
    </row>
    <row r="94" spans="2:24">
      <c r="B94" s="1" t="s">
        <v>58</v>
      </c>
      <c r="C94" s="1" t="s">
        <v>52</v>
      </c>
      <c r="M94" s="530">
        <v>158.44</v>
      </c>
      <c r="N94" s="530">
        <v>91.42</v>
      </c>
      <c r="O94" s="530">
        <v>66.7</v>
      </c>
      <c r="P94" s="530">
        <v>112.35</v>
      </c>
      <c r="Q94" s="530">
        <v>134.15</v>
      </c>
      <c r="R94" s="556"/>
      <c r="S94" s="530">
        <v>134.15</v>
      </c>
      <c r="T94" s="530">
        <v>134.15</v>
      </c>
      <c r="U94" s="530">
        <v>134.15</v>
      </c>
      <c r="V94" s="530">
        <v>134.15</v>
      </c>
      <c r="W94" s="530">
        <v>134.15</v>
      </c>
    </row>
    <row r="95" spans="2:24">
      <c r="C95" s="553" t="s">
        <v>622</v>
      </c>
      <c r="M95" s="568">
        <f ca="1">M94/$M$59</f>
        <v>1.4605301744749336E-2</v>
      </c>
      <c r="N95" s="568">
        <f ca="1">N94/$N$59</f>
        <v>7.4414759603688109E-3</v>
      </c>
      <c r="O95" s="568">
        <f ca="1">O94/$O$59</f>
        <v>4.8845350171499071E-3</v>
      </c>
      <c r="P95" s="568">
        <f>P94/$P$59</f>
        <v>7.4292387328171988E-3</v>
      </c>
      <c r="Q95" s="568">
        <f>Q94/$Q$59</f>
        <v>8.2643966220395416E-3</v>
      </c>
      <c r="R95" s="556"/>
    </row>
    <row r="96" spans="2:24">
      <c r="B96" s="1" t="s">
        <v>59</v>
      </c>
      <c r="C96" s="1" t="s">
        <v>42</v>
      </c>
      <c r="M96" s="530">
        <v>187.84</v>
      </c>
      <c r="N96" s="530">
        <v>186</v>
      </c>
      <c r="O96" s="530">
        <v>214.01</v>
      </c>
      <c r="P96" s="530">
        <v>249.89</v>
      </c>
      <c r="Q96" s="530">
        <v>260.52999999999997</v>
      </c>
      <c r="R96" s="556"/>
      <c r="S96" s="530">
        <v>260.52999999999997</v>
      </c>
      <c r="T96" s="530">
        <v>260.52999999999997</v>
      </c>
      <c r="U96" s="530">
        <v>260.52999999999997</v>
      </c>
      <c r="V96" s="530">
        <v>260.52999999999997</v>
      </c>
      <c r="W96" s="530">
        <v>260.52999999999997</v>
      </c>
    </row>
    <row r="97" spans="2:23">
      <c r="C97" s="553" t="s">
        <v>622</v>
      </c>
      <c r="M97" s="568">
        <f ca="1">M96/$M$59</f>
        <v>1.7315449884711662E-2</v>
      </c>
      <c r="N97" s="568">
        <f ca="1">N96/$N$59</f>
        <v>1.51401720480048E-2</v>
      </c>
      <c r="O97" s="568">
        <f ca="1">O96/$O$59</f>
        <v>1.5672253958324611E-2</v>
      </c>
      <c r="P97" s="568">
        <f>P96/$P$59</f>
        <v>1.6524187511737336E-2</v>
      </c>
      <c r="Q97" s="568">
        <f>Q96/$Q$59</f>
        <v>1.6050117420350066E-2</v>
      </c>
      <c r="R97" s="556"/>
    </row>
    <row r="98" spans="2:23">
      <c r="B98" s="1" t="s">
        <v>60</v>
      </c>
      <c r="C98" s="1" t="s">
        <v>53</v>
      </c>
      <c r="M98" s="530">
        <v>84.58</v>
      </c>
      <c r="N98" s="530">
        <v>135.06</v>
      </c>
      <c r="O98" s="530">
        <v>131.68</v>
      </c>
      <c r="P98" s="530">
        <v>175.03</v>
      </c>
      <c r="Q98" s="530">
        <v>266.89999999999998</v>
      </c>
      <c r="R98" s="556"/>
      <c r="S98" s="530">
        <v>266.89999999999998</v>
      </c>
      <c r="T98" s="530">
        <v>266.89999999999998</v>
      </c>
      <c r="U98" s="530">
        <v>266.89999999999998</v>
      </c>
      <c r="V98" s="530">
        <v>266.89999999999998</v>
      </c>
      <c r="W98" s="530">
        <v>266.89999999999998</v>
      </c>
    </row>
    <row r="99" spans="2:23" ht="28" thickBot="1">
      <c r="B99" s="539" t="s">
        <v>54</v>
      </c>
      <c r="C99" s="540"/>
      <c r="D99" s="540"/>
      <c r="E99" s="540"/>
      <c r="F99" s="540"/>
      <c r="G99" s="540"/>
      <c r="H99" s="540"/>
      <c r="I99" s="540"/>
      <c r="J99" s="540"/>
      <c r="K99" s="540"/>
      <c r="L99" s="540"/>
      <c r="M99" s="542">
        <f ca="1">SUM(M84:M98)</f>
        <v>2934.4526824911941</v>
      </c>
      <c r="N99" s="542">
        <f ca="1">SUM(N84:N98)</f>
        <v>3322.7994569655889</v>
      </c>
      <c r="O99" s="542">
        <f ca="1">SUM(O84:O98)</f>
        <v>3609.6846805345704</v>
      </c>
      <c r="P99" s="542">
        <f>SUM(P84:P98)</f>
        <v>3930.6783289998862</v>
      </c>
      <c r="Q99" s="542">
        <f>SUM(Q84:Q98)</f>
        <v>4318.6895977151698</v>
      </c>
      <c r="R99" s="556"/>
    </row>
    <row r="100" spans="2:23">
      <c r="B100" s="2" t="s">
        <v>55</v>
      </c>
      <c r="M100" s="526">
        <f ca="1">SUM(M99,M81)</f>
        <v>3147.1910091766263</v>
      </c>
      <c r="N100" s="526">
        <f ca="1">SUM(N99,N81)</f>
        <v>3862.976727022447</v>
      </c>
      <c r="O100" s="526">
        <f ca="1">SUM(O99,O81)</f>
        <v>4213.232213096594</v>
      </c>
      <c r="P100" s="526">
        <f>SUM(P99,P81)</f>
        <v>4819.8483289998858</v>
      </c>
      <c r="Q100" s="526">
        <f>SUM(Q99,Q81)</f>
        <v>5022.2695977151698</v>
      </c>
      <c r="R100" s="556"/>
    </row>
    <row r="101" spans="2:23" ht="28" thickBot="1">
      <c r="B101" s="539" t="s">
        <v>56</v>
      </c>
      <c r="C101" s="540"/>
      <c r="D101" s="540"/>
      <c r="E101" s="540"/>
      <c r="F101" s="540"/>
      <c r="G101" s="540"/>
      <c r="H101" s="540"/>
      <c r="I101" s="540"/>
      <c r="J101" s="540"/>
      <c r="K101" s="540"/>
      <c r="L101" s="540"/>
      <c r="M101" s="542">
        <f ca="1">SUM(M68,M100)</f>
        <v>10848.117448005709</v>
      </c>
      <c r="N101" s="542">
        <f ca="1">SUM(N68,N100)</f>
        <v>12285.50895457076</v>
      </c>
      <c r="O101" s="542">
        <f ca="1">SUM(O68,O100)</f>
        <v>13655.319337574674</v>
      </c>
      <c r="P101" s="542">
        <f>SUM(P100,P68)</f>
        <v>15122.928328999886</v>
      </c>
      <c r="Q101" s="542">
        <f>SUM(Q100,Q68)</f>
        <v>16232.529597715169</v>
      </c>
      <c r="R101" s="556"/>
    </row>
    <row r="102" spans="2:23">
      <c r="B102" s="2" t="s">
        <v>45</v>
      </c>
      <c r="R102" s="556"/>
    </row>
    <row r="103" spans="2:23">
      <c r="R103" s="523"/>
    </row>
    <row r="104" spans="2:23">
      <c r="R104" s="523"/>
    </row>
    <row r="105" spans="2:23">
      <c r="R105" s="523"/>
    </row>
    <row r="106" spans="2:23">
      <c r="B106" s="1" t="s">
        <v>628</v>
      </c>
      <c r="R106" s="523"/>
    </row>
    <row r="107" spans="2:23">
      <c r="B107" s="1" t="s">
        <v>629</v>
      </c>
      <c r="R107" s="523"/>
    </row>
    <row r="108" spans="2:23">
      <c r="B108" s="1" t="s">
        <v>773</v>
      </c>
      <c r="R108" s="523"/>
    </row>
    <row r="109" spans="2:23">
      <c r="B109" s="1" t="s">
        <v>775</v>
      </c>
      <c r="R109" s="523"/>
    </row>
    <row r="110" spans="2:23">
      <c r="B110" s="1" t="s">
        <v>774</v>
      </c>
      <c r="R110" s="523"/>
    </row>
    <row r="111" spans="2:23">
      <c r="R111" s="523"/>
    </row>
    <row r="112" spans="2:23">
      <c r="B112" s="1" t="s">
        <v>636</v>
      </c>
      <c r="R112" s="523"/>
    </row>
    <row r="113" spans="2:18">
      <c r="B113" s="1" t="s">
        <v>630</v>
      </c>
      <c r="R113" s="523"/>
    </row>
    <row r="114" spans="2:18">
      <c r="B114" s="1" t="s">
        <v>631</v>
      </c>
    </row>
    <row r="115" spans="2:18">
      <c r="B115" s="1" t="s">
        <v>632</v>
      </c>
    </row>
    <row r="117" spans="2:18">
      <c r="B117" s="1" t="s">
        <v>633</v>
      </c>
    </row>
    <row r="118" spans="2:18">
      <c r="B118" s="1" t="s">
        <v>634</v>
      </c>
    </row>
    <row r="119" spans="2:18">
      <c r="B119" s="1" t="s">
        <v>635</v>
      </c>
    </row>
  </sheetData>
  <mergeCells count="5">
    <mergeCell ref="B8:Q8"/>
    <mergeCell ref="S8:W8"/>
    <mergeCell ref="B9:Q9"/>
    <mergeCell ref="S9:W9"/>
    <mergeCell ref="R8:R10"/>
  </mergeCells>
  <pageMargins left="0.7" right="0.7" top="0.75" bottom="0.75" header="0.3" footer="0.3"/>
  <pageSetup paperSize="9" orientation="portrait" horizontalDpi="0" verticalDpi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7081B-4058-8B47-BB3A-0127412EF673}">
  <sheetPr codeName="Sheet20">
    <tabColor theme="6"/>
  </sheetPr>
  <dimension ref="A2:X87"/>
  <sheetViews>
    <sheetView topLeftCell="F29" zoomScale="61" workbookViewId="0">
      <selection activeCell="T32" sqref="T32"/>
    </sheetView>
  </sheetViews>
  <sheetFormatPr baseColWidth="10" defaultRowHeight="27"/>
  <cols>
    <col min="1" max="10" width="10.83203125" style="3"/>
    <col min="11" max="11" width="15.1640625" style="3" bestFit="1" customWidth="1"/>
    <col min="12" max="12" width="25.1640625" style="3" customWidth="1"/>
    <col min="13" max="18" width="25.83203125" style="3" customWidth="1"/>
    <col min="19" max="19" width="27.1640625" style="3" customWidth="1"/>
    <col min="20" max="24" width="25.83203125" style="3" customWidth="1"/>
    <col min="25" max="16384" width="10.83203125" style="3"/>
  </cols>
  <sheetData>
    <row r="2" spans="1:2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2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24">
      <c r="A4" s="1"/>
      <c r="B4" s="1"/>
      <c r="C4" s="1"/>
      <c r="D4" s="1"/>
      <c r="E4" s="4"/>
      <c r="F4" s="4"/>
      <c r="G4" s="4"/>
      <c r="H4" s="4"/>
      <c r="I4" s="4"/>
      <c r="J4" s="4"/>
      <c r="K4" s="4"/>
      <c r="L4" s="4"/>
      <c r="M4" s="4"/>
      <c r="N4" s="1"/>
      <c r="O4" s="1"/>
      <c r="P4" s="1"/>
      <c r="Q4" s="1"/>
      <c r="R4" s="1"/>
    </row>
    <row r="5" spans="1:24" ht="47">
      <c r="A5" s="1"/>
      <c r="B5" s="537" t="s">
        <v>595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  <c r="P5" s="1"/>
      <c r="Q5" s="1"/>
      <c r="R5" s="1"/>
    </row>
    <row r="6" spans="1:24">
      <c r="A6" s="1"/>
      <c r="C6" s="534" t="s">
        <v>650</v>
      </c>
      <c r="D6" s="4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/>
    </row>
    <row r="7" spans="1:24" ht="28" thickBot="1">
      <c r="A7" s="1"/>
      <c r="C7" s="533" t="s">
        <v>596</v>
      </c>
      <c r="D7" s="4"/>
      <c r="E7" s="531"/>
      <c r="F7" s="531"/>
      <c r="G7" s="531"/>
      <c r="H7" s="531"/>
      <c r="I7" s="531"/>
      <c r="J7" s="531"/>
      <c r="K7" s="531"/>
      <c r="L7" s="531"/>
      <c r="M7" s="531"/>
      <c r="N7" s="1"/>
      <c r="O7" s="1"/>
      <c r="P7" s="1"/>
      <c r="Q7" s="1"/>
      <c r="R7" s="1"/>
    </row>
    <row r="8" spans="1:24" ht="31">
      <c r="A8" s="1"/>
      <c r="B8" s="700" t="s">
        <v>594</v>
      </c>
      <c r="C8" s="700"/>
      <c r="D8" s="700"/>
      <c r="E8" s="700"/>
      <c r="F8" s="700"/>
      <c r="G8" s="700"/>
      <c r="H8" s="700"/>
      <c r="I8" s="700"/>
      <c r="J8" s="700"/>
      <c r="K8" s="700"/>
      <c r="L8" s="700"/>
      <c r="M8" s="700"/>
      <c r="N8" s="700"/>
      <c r="O8" s="700"/>
      <c r="P8" s="700"/>
      <c r="Q8" s="700"/>
      <c r="R8" s="700"/>
      <c r="S8" s="703" t="s">
        <v>619</v>
      </c>
      <c r="T8" s="700" t="s">
        <v>615</v>
      </c>
      <c r="U8" s="700"/>
      <c r="V8" s="700"/>
      <c r="W8" s="700"/>
      <c r="X8" s="700"/>
    </row>
    <row r="9" spans="1:24" ht="32">
      <c r="A9" s="1"/>
      <c r="B9" s="701" t="s">
        <v>588</v>
      </c>
      <c r="C9" s="701"/>
      <c r="D9" s="701"/>
      <c r="E9" s="701"/>
      <c r="F9" s="701"/>
      <c r="G9" s="701"/>
      <c r="H9" s="701"/>
      <c r="I9" s="701"/>
      <c r="J9" s="701"/>
      <c r="K9" s="701"/>
      <c r="L9" s="701"/>
      <c r="M9" s="701"/>
      <c r="N9" s="701"/>
      <c r="O9" s="701"/>
      <c r="P9" s="701"/>
      <c r="Q9" s="701"/>
      <c r="R9" s="701"/>
      <c r="S9" s="704"/>
      <c r="T9" s="702" t="s">
        <v>617</v>
      </c>
      <c r="U9" s="702"/>
      <c r="V9" s="702"/>
      <c r="W9" s="702"/>
      <c r="X9" s="702"/>
    </row>
    <row r="10" spans="1:24" ht="28" thickBot="1">
      <c r="A10" s="1"/>
      <c r="B10" s="524" t="s">
        <v>1</v>
      </c>
      <c r="C10" s="524"/>
      <c r="D10" s="524"/>
      <c r="E10" s="524"/>
      <c r="F10" s="524"/>
      <c r="G10" s="524"/>
      <c r="H10" s="524"/>
      <c r="I10" s="524"/>
      <c r="J10" s="524"/>
      <c r="K10" s="524"/>
      <c r="L10" s="524"/>
      <c r="M10" s="524" t="s">
        <v>46</v>
      </c>
      <c r="N10" s="532" t="s">
        <v>589</v>
      </c>
      <c r="O10" s="532" t="s">
        <v>590</v>
      </c>
      <c r="P10" s="532" t="s">
        <v>591</v>
      </c>
      <c r="Q10" s="532" t="s">
        <v>592</v>
      </c>
      <c r="R10" s="532" t="s">
        <v>593</v>
      </c>
      <c r="S10" s="705"/>
      <c r="T10" s="532" t="s">
        <v>610</v>
      </c>
      <c r="U10" s="532" t="s">
        <v>611</v>
      </c>
      <c r="V10" s="532" t="s">
        <v>612</v>
      </c>
      <c r="W10" s="532" t="s">
        <v>613</v>
      </c>
      <c r="X10" s="532" t="s">
        <v>614</v>
      </c>
    </row>
    <row r="11" spans="1:24">
      <c r="B11" s="545" t="s">
        <v>98</v>
      </c>
      <c r="C11" s="2" t="s">
        <v>114</v>
      </c>
    </row>
    <row r="12" spans="1:24">
      <c r="B12" s="546"/>
      <c r="C12" s="3" t="s">
        <v>115</v>
      </c>
      <c r="N12" s="525">
        <v>2056.02</v>
      </c>
      <c r="O12" s="525">
        <v>2268.6799999999998</v>
      </c>
      <c r="P12" s="525">
        <v>2218.6799999999998</v>
      </c>
      <c r="Q12" s="525">
        <v>2358.7399999999998</v>
      </c>
      <c r="R12" s="525">
        <v>2257.89</v>
      </c>
      <c r="S12" s="556"/>
      <c r="T12" s="691">
        <f>'Fore - P&amp; L'!U32</f>
        <v>2033.7008406054842</v>
      </c>
      <c r="U12" s="691">
        <f>'Fore - P&amp; L'!V32</f>
        <v>2260.3112048075786</v>
      </c>
      <c r="V12" s="691">
        <f>'Fore - P&amp; L'!W32</f>
        <v>2510.628001277973</v>
      </c>
      <c r="W12" s="691">
        <f>'Fore - P&amp; L'!X32</f>
        <v>2787.0688973100159</v>
      </c>
      <c r="X12" s="691">
        <f>'Fore - P&amp; L'!Y32</f>
        <v>3092.2954421661125</v>
      </c>
    </row>
    <row r="13" spans="1:24">
      <c r="B13" s="546"/>
      <c r="C13" s="2" t="s">
        <v>116</v>
      </c>
      <c r="N13" s="525"/>
      <c r="O13" s="525"/>
      <c r="P13" s="525"/>
      <c r="Q13" s="525"/>
      <c r="R13" s="525"/>
      <c r="S13" s="556"/>
    </row>
    <row r="14" spans="1:24">
      <c r="B14" s="546"/>
      <c r="C14" s="3" t="s">
        <v>117</v>
      </c>
      <c r="N14" s="525">
        <v>240.13</v>
      </c>
      <c r="O14" s="525">
        <v>252.89</v>
      </c>
      <c r="P14" s="525">
        <v>310.95999999999998</v>
      </c>
      <c r="Q14" s="525">
        <v>399.21</v>
      </c>
      <c r="R14" s="525">
        <v>445.6</v>
      </c>
      <c r="S14" s="556" t="s">
        <v>638</v>
      </c>
      <c r="T14" s="574">
        <f>'Fore - P&amp; L'!U22</f>
        <v>422.41282160186176</v>
      </c>
      <c r="U14" s="574">
        <f>'Fore - P&amp; L'!V22</f>
        <v>441.41382362050274</v>
      </c>
      <c r="V14" s="574">
        <f>'Fore - P&amp; L'!W22</f>
        <v>461.26952999291609</v>
      </c>
      <c r="W14" s="574">
        <f>'Fore - P&amp; L'!X22</f>
        <v>482.0183870879639</v>
      </c>
      <c r="X14" s="574">
        <f>'Fore - P&amp; L'!Y22</f>
        <v>503.70057067166425</v>
      </c>
    </row>
    <row r="15" spans="1:24">
      <c r="B15" s="546"/>
      <c r="C15" s="3" t="s">
        <v>118</v>
      </c>
      <c r="N15" s="525">
        <v>0.37</v>
      </c>
      <c r="O15" s="525">
        <v>0.62</v>
      </c>
      <c r="P15" s="525">
        <v>-14.41</v>
      </c>
      <c r="Q15" s="525">
        <v>1.78</v>
      </c>
      <c r="R15" s="525">
        <v>-6.67</v>
      </c>
      <c r="S15" s="556" t="s">
        <v>815</v>
      </c>
    </row>
    <row r="16" spans="1:24">
      <c r="B16" s="546"/>
      <c r="C16" s="3" t="s">
        <v>119</v>
      </c>
      <c r="N16" s="525">
        <v>43.3</v>
      </c>
      <c r="O16" s="525">
        <v>40.020000000000003</v>
      </c>
      <c r="P16" s="525">
        <v>51.23</v>
      </c>
      <c r="Q16" s="525">
        <v>50.43</v>
      </c>
      <c r="R16" s="525">
        <v>13.5</v>
      </c>
      <c r="S16" s="556" t="s">
        <v>815</v>
      </c>
    </row>
    <row r="17" spans="2:24">
      <c r="B17" s="546"/>
      <c r="C17" s="3" t="s">
        <v>120</v>
      </c>
      <c r="N17" s="525">
        <v>13.5</v>
      </c>
      <c r="O17" s="525">
        <v>11.5</v>
      </c>
      <c r="P17" s="525">
        <v>12</v>
      </c>
      <c r="Q17" s="525">
        <v>15</v>
      </c>
      <c r="R17" s="525">
        <v>10.5</v>
      </c>
      <c r="S17" s="556" t="s">
        <v>815</v>
      </c>
    </row>
    <row r="18" spans="2:24">
      <c r="B18" s="546"/>
      <c r="C18" s="3" t="s">
        <v>121</v>
      </c>
      <c r="N18" s="525">
        <v>5.94</v>
      </c>
      <c r="O18" s="525">
        <v>-7.15</v>
      </c>
      <c r="P18" s="525">
        <v>0.71</v>
      </c>
      <c r="Q18" s="525">
        <v>8.14</v>
      </c>
      <c r="R18" s="525">
        <v>3.81</v>
      </c>
      <c r="S18" s="556" t="s">
        <v>815</v>
      </c>
    </row>
    <row r="19" spans="2:24">
      <c r="B19" s="546"/>
      <c r="C19" s="3" t="s">
        <v>122</v>
      </c>
      <c r="N19" s="525">
        <v>15.77</v>
      </c>
      <c r="O19" s="525">
        <v>2.2999999999999998</v>
      </c>
      <c r="P19" s="525">
        <v>16.690000000000001</v>
      </c>
      <c r="Q19" s="525">
        <v>24.83</v>
      </c>
      <c r="R19" s="525">
        <v>3.14</v>
      </c>
      <c r="S19" s="556" t="s">
        <v>815</v>
      </c>
    </row>
    <row r="20" spans="2:24">
      <c r="B20" s="546"/>
      <c r="C20" s="3" t="s">
        <v>586</v>
      </c>
      <c r="N20" s="525">
        <v>30.81</v>
      </c>
      <c r="O20" s="525">
        <v>38.6</v>
      </c>
      <c r="P20" s="525">
        <v>78.239999999999995</v>
      </c>
      <c r="Q20" s="525">
        <v>124.18</v>
      </c>
      <c r="R20" s="525">
        <v>163.51</v>
      </c>
      <c r="S20" s="556" t="s">
        <v>816</v>
      </c>
      <c r="T20" s="3">
        <f>'Fore - P&amp; L'!U26</f>
        <v>159.09992681076525</v>
      </c>
      <c r="U20" s="3">
        <f>'Fore - P&amp; L'!V26</f>
        <v>175.0099194918418</v>
      </c>
      <c r="V20" s="3">
        <f>'Fore - P&amp; L'!W26</f>
        <v>192.51091144102597</v>
      </c>
      <c r="W20" s="3">
        <f>'Fore - P&amp; L'!X26</f>
        <v>211.76200258512858</v>
      </c>
      <c r="X20" s="3">
        <f>'Fore - P&amp; L'!Y26</f>
        <v>232.93820284364145</v>
      </c>
    </row>
    <row r="21" spans="2:24">
      <c r="B21" s="546"/>
      <c r="C21" s="3" t="s">
        <v>123</v>
      </c>
      <c r="N21" s="525">
        <v>1.1100000000000001</v>
      </c>
      <c r="O21" s="525">
        <v>-6.25</v>
      </c>
      <c r="P21" s="525">
        <v>-4.28</v>
      </c>
      <c r="Q21" s="525">
        <v>1.01</v>
      </c>
      <c r="R21" s="525">
        <v>2.69</v>
      </c>
      <c r="S21" s="556" t="s">
        <v>815</v>
      </c>
    </row>
    <row r="22" spans="2:24">
      <c r="B22" s="546"/>
      <c r="C22" s="3" t="s">
        <v>124</v>
      </c>
      <c r="N22" s="525">
        <v>-260.77999999999997</v>
      </c>
      <c r="O22" s="525">
        <v>-323.33999999999997</v>
      </c>
      <c r="P22" s="525">
        <v>-361.13</v>
      </c>
      <c r="Q22" s="525">
        <v>-393.1</v>
      </c>
      <c r="R22" s="525">
        <v>-408.16</v>
      </c>
      <c r="S22" s="556" t="s">
        <v>815</v>
      </c>
    </row>
    <row r="23" spans="2:24">
      <c r="B23" s="546"/>
      <c r="C23" s="3" t="s">
        <v>125</v>
      </c>
      <c r="N23" s="525">
        <v>1.01</v>
      </c>
      <c r="O23" s="525">
        <v>1.8</v>
      </c>
      <c r="P23" s="525">
        <v>1.63</v>
      </c>
      <c r="Q23" s="525">
        <v>0.51</v>
      </c>
      <c r="R23" s="525">
        <v>-0.55000000000000004</v>
      </c>
      <c r="S23" s="556" t="s">
        <v>815</v>
      </c>
    </row>
    <row r="24" spans="2:24">
      <c r="B24" s="546"/>
      <c r="C24" s="3" t="s">
        <v>126</v>
      </c>
      <c r="N24" s="525">
        <v>0.76</v>
      </c>
      <c r="O24" s="525">
        <v>-1.29</v>
      </c>
      <c r="P24" s="525">
        <v>1.26</v>
      </c>
      <c r="Q24" s="525">
        <v>-39.450000000000003</v>
      </c>
      <c r="R24" s="525">
        <v>-28.15</v>
      </c>
      <c r="S24" s="556" t="s">
        <v>815</v>
      </c>
    </row>
    <row r="25" spans="2:24">
      <c r="B25" s="546"/>
      <c r="C25" s="3" t="s">
        <v>581</v>
      </c>
      <c r="N25" s="525">
        <v>-15.82</v>
      </c>
      <c r="O25" s="525">
        <v>-11.15</v>
      </c>
      <c r="P25" s="525">
        <v>-23.65</v>
      </c>
      <c r="Q25" s="525">
        <v>-18.510000000000002</v>
      </c>
      <c r="R25" s="525">
        <v>-77.95</v>
      </c>
      <c r="S25" s="556" t="s">
        <v>815</v>
      </c>
    </row>
    <row r="26" spans="2:24">
      <c r="B26" s="546"/>
      <c r="C26" s="3" t="s">
        <v>581</v>
      </c>
      <c r="N26" s="525">
        <v>-12.26</v>
      </c>
      <c r="O26" s="525">
        <v>-5.0199999999999996</v>
      </c>
      <c r="P26" s="525"/>
      <c r="Q26" s="525"/>
      <c r="R26" s="525"/>
      <c r="S26" s="556" t="s">
        <v>815</v>
      </c>
    </row>
    <row r="27" spans="2:24">
      <c r="B27" s="546"/>
      <c r="C27" s="3" t="s">
        <v>587</v>
      </c>
      <c r="N27" s="525">
        <v>-0.42</v>
      </c>
      <c r="O27" s="525"/>
      <c r="P27" s="525"/>
      <c r="Q27" s="525"/>
      <c r="R27" s="525"/>
      <c r="S27" s="556" t="s">
        <v>815</v>
      </c>
    </row>
    <row r="28" spans="2:24">
      <c r="B28" s="546"/>
      <c r="C28" s="3" t="s">
        <v>127</v>
      </c>
      <c r="N28" s="525">
        <v>-71.81</v>
      </c>
      <c r="O28" s="525">
        <v>-60.5</v>
      </c>
      <c r="P28" s="525">
        <v>-144.97999999999999</v>
      </c>
      <c r="Q28" s="525">
        <v>-126.52</v>
      </c>
      <c r="R28" s="525">
        <v>23.1</v>
      </c>
      <c r="S28" s="556" t="s">
        <v>815</v>
      </c>
    </row>
    <row r="29" spans="2:24">
      <c r="B29" s="546"/>
      <c r="C29" s="3" t="s">
        <v>582</v>
      </c>
      <c r="N29" s="525"/>
      <c r="O29" s="525">
        <v>85</v>
      </c>
      <c r="P29" s="525"/>
      <c r="Q29" s="525"/>
      <c r="R29" s="525"/>
      <c r="S29" s="556" t="s">
        <v>815</v>
      </c>
    </row>
    <row r="30" spans="2:24" ht="28" thickBot="1">
      <c r="B30" s="546"/>
      <c r="C30" s="539" t="s">
        <v>128</v>
      </c>
      <c r="D30" s="543"/>
      <c r="E30" s="543"/>
      <c r="F30" s="543"/>
      <c r="G30" s="543"/>
      <c r="H30" s="543"/>
      <c r="I30" s="543"/>
      <c r="J30" s="543"/>
      <c r="K30" s="543"/>
      <c r="L30" s="543"/>
      <c r="M30" s="543"/>
      <c r="N30" s="542">
        <f>SUM(N12:N29)</f>
        <v>2047.63</v>
      </c>
      <c r="O30" s="542">
        <f>SUM(O12:O29)</f>
        <v>2286.7099999999996</v>
      </c>
      <c r="P30" s="542">
        <f>SUM(P12:P28)</f>
        <v>2142.9499999999998</v>
      </c>
      <c r="Q30" s="542">
        <f t="shared" ref="Q30:R30" si="0">SUM(Q12:Q28)</f>
        <v>2406.25</v>
      </c>
      <c r="R30" s="542">
        <f t="shared" si="0"/>
        <v>2402.2599999999998</v>
      </c>
      <c r="S30" s="556"/>
    </row>
    <row r="31" spans="2:24">
      <c r="B31" s="546"/>
      <c r="C31" s="2" t="s">
        <v>129</v>
      </c>
      <c r="N31" s="525"/>
      <c r="O31" s="525"/>
      <c r="P31" s="525"/>
      <c r="Q31" s="525"/>
      <c r="R31" s="525"/>
      <c r="S31" s="556"/>
    </row>
    <row r="32" spans="2:24">
      <c r="B32" s="546"/>
      <c r="C32" s="3" t="s">
        <v>130</v>
      </c>
      <c r="N32" s="525">
        <v>-354.71</v>
      </c>
      <c r="O32" s="525">
        <v>-177.1</v>
      </c>
      <c r="P32" s="525">
        <v>-96.02</v>
      </c>
      <c r="Q32" s="525">
        <v>77.239999999999995</v>
      </c>
      <c r="R32" s="525">
        <v>-353.14</v>
      </c>
      <c r="S32" s="556"/>
    </row>
    <row r="33" spans="2:24">
      <c r="B33" s="546"/>
      <c r="C33" s="3" t="s">
        <v>131</v>
      </c>
      <c r="N33" s="525">
        <v>247.79</v>
      </c>
      <c r="O33" s="525">
        <v>-78.37</v>
      </c>
      <c r="P33" s="525">
        <v>-190.79</v>
      </c>
      <c r="Q33" s="525">
        <v>-55.34</v>
      </c>
      <c r="R33" s="525">
        <v>12.22</v>
      </c>
      <c r="S33" s="556"/>
    </row>
    <row r="34" spans="2:24">
      <c r="B34" s="546"/>
      <c r="C34" s="3" t="s">
        <v>132</v>
      </c>
      <c r="N34" s="525">
        <v>0.44</v>
      </c>
      <c r="O34" s="525">
        <v>-18.489999999999998</v>
      </c>
      <c r="P34" s="525">
        <v>19.32</v>
      </c>
      <c r="Q34" s="525">
        <v>-4.92</v>
      </c>
      <c r="R34" s="525">
        <v>1.46</v>
      </c>
      <c r="S34" s="556"/>
    </row>
    <row r="35" spans="2:24">
      <c r="B35" s="546"/>
      <c r="C35" s="3" t="s">
        <v>133</v>
      </c>
      <c r="N35" s="525">
        <v>79.83</v>
      </c>
      <c r="O35" s="525">
        <v>88.48</v>
      </c>
      <c r="P35" s="525">
        <v>17.39</v>
      </c>
      <c r="Q35" s="525">
        <v>-203.77</v>
      </c>
      <c r="R35" s="525">
        <v>-208.86</v>
      </c>
      <c r="S35" s="556"/>
    </row>
    <row r="36" spans="2:24">
      <c r="B36" s="546"/>
      <c r="C36" s="3" t="s">
        <v>134</v>
      </c>
      <c r="N36" s="525">
        <v>433.78</v>
      </c>
      <c r="O36" s="525">
        <v>108.01</v>
      </c>
      <c r="P36" s="525">
        <v>141.30000000000001</v>
      </c>
      <c r="Q36" s="525">
        <v>216.57</v>
      </c>
      <c r="R36" s="525">
        <v>407.18</v>
      </c>
      <c r="S36" s="556"/>
    </row>
    <row r="37" spans="2:24">
      <c r="B37" s="546"/>
      <c r="C37" s="3" t="s">
        <v>135</v>
      </c>
      <c r="N37" s="525">
        <v>62.5</v>
      </c>
      <c r="O37" s="525">
        <v>47.71</v>
      </c>
      <c r="P37" s="525">
        <v>43.11</v>
      </c>
      <c r="Q37" s="525">
        <v>26.19</v>
      </c>
      <c r="R37" s="525">
        <v>97.74</v>
      </c>
      <c r="S37" s="556"/>
    </row>
    <row r="38" spans="2:24">
      <c r="B38" s="546"/>
      <c r="C38" s="3" t="s">
        <v>136</v>
      </c>
      <c r="N38" s="525">
        <v>-81.27</v>
      </c>
      <c r="O38" s="525">
        <v>-67.02</v>
      </c>
      <c r="P38" s="525">
        <v>-94.38</v>
      </c>
      <c r="Q38" s="525">
        <v>45.17</v>
      </c>
      <c r="R38" s="525">
        <v>32.43</v>
      </c>
      <c r="S38" s="556"/>
    </row>
    <row r="39" spans="2:24">
      <c r="B39" s="546"/>
      <c r="C39" s="2" t="s">
        <v>137</v>
      </c>
      <c r="N39" s="526">
        <f>SUM(N30:N38)</f>
        <v>2435.9900000000002</v>
      </c>
      <c r="O39" s="526">
        <f>SUM(O30:O38)</f>
        <v>2189.9299999999998</v>
      </c>
      <c r="P39" s="526">
        <f>SUM(P30:P38)</f>
        <v>1982.8799999999997</v>
      </c>
      <c r="Q39" s="526">
        <f t="shared" ref="Q39:R39" si="1">SUM(Q30:Q38)</f>
        <v>2507.39</v>
      </c>
      <c r="R39" s="526">
        <f t="shared" si="1"/>
        <v>2391.2899999999991</v>
      </c>
      <c r="S39" s="556"/>
    </row>
    <row r="40" spans="2:24">
      <c r="B40" s="546"/>
      <c r="C40" s="3" t="s">
        <v>138</v>
      </c>
      <c r="N40" s="525">
        <v>-321.32</v>
      </c>
      <c r="O40" s="525">
        <v>-387.6</v>
      </c>
      <c r="P40" s="525">
        <v>-494.45</v>
      </c>
      <c r="Q40" s="525">
        <v>-493.92</v>
      </c>
      <c r="R40" s="525">
        <v>-404.54</v>
      </c>
      <c r="S40" s="556"/>
    </row>
    <row r="41" spans="2:24" ht="28" thickBot="1">
      <c r="B41" s="546"/>
      <c r="C41" s="539" t="s">
        <v>139</v>
      </c>
      <c r="D41" s="543"/>
      <c r="E41" s="543"/>
      <c r="F41" s="543"/>
      <c r="G41" s="543"/>
      <c r="H41" s="543"/>
      <c r="I41" s="543"/>
      <c r="J41" s="543"/>
      <c r="K41" s="543"/>
      <c r="L41" s="543"/>
      <c r="M41" s="543"/>
      <c r="N41" s="542">
        <f>SUM(N39:N40)</f>
        <v>2114.67</v>
      </c>
      <c r="O41" s="542">
        <f>SUM(O39:O40)</f>
        <v>1802.33</v>
      </c>
      <c r="P41" s="542">
        <f>SUM(P39:P40)</f>
        <v>1488.4299999999996</v>
      </c>
      <c r="Q41" s="542">
        <f>Q39+Q40</f>
        <v>2013.4699999999998</v>
      </c>
      <c r="R41" s="542">
        <f>R39+R40</f>
        <v>1986.7499999999991</v>
      </c>
      <c r="S41" s="556"/>
    </row>
    <row r="42" spans="2:24">
      <c r="B42" s="546"/>
      <c r="N42" s="525"/>
      <c r="O42" s="525"/>
      <c r="P42" s="525"/>
      <c r="Q42" s="525"/>
      <c r="R42" s="525"/>
      <c r="S42" s="556"/>
    </row>
    <row r="43" spans="2:24">
      <c r="B43" s="545" t="s">
        <v>99</v>
      </c>
      <c r="C43" s="2" t="s">
        <v>140</v>
      </c>
      <c r="N43" s="525"/>
      <c r="O43" s="525"/>
      <c r="P43" s="525"/>
      <c r="Q43" s="525"/>
      <c r="R43" s="525"/>
      <c r="S43" s="556"/>
    </row>
    <row r="44" spans="2:24">
      <c r="B44" s="546"/>
      <c r="C44" s="3" t="s">
        <v>141</v>
      </c>
      <c r="N44" s="525">
        <v>-311.20999999999998</v>
      </c>
      <c r="O44" s="525">
        <v>-374.13</v>
      </c>
      <c r="P44" s="525">
        <v>-509.09</v>
      </c>
      <c r="Q44" s="525">
        <v>-563.86</v>
      </c>
      <c r="R44" s="525">
        <v>-569.54</v>
      </c>
      <c r="S44" s="556"/>
      <c r="T44" s="573">
        <f>-R44*(1-S45)</f>
        <v>595.15908667605902</v>
      </c>
      <c r="U44" s="573">
        <f>T44*(1-$S$45)</f>
        <v>621.93057283611472</v>
      </c>
      <c r="V44" s="573">
        <f t="shared" ref="V44:X44" si="2">U44*(1-$S$45)</f>
        <v>649.90629579144615</v>
      </c>
      <c r="W44" s="573">
        <f t="shared" si="2"/>
        <v>679.14042460276323</v>
      </c>
      <c r="X44" s="573">
        <f t="shared" si="2"/>
        <v>709.68956496711644</v>
      </c>
    </row>
    <row r="45" spans="2:24">
      <c r="B45" s="546"/>
      <c r="N45" s="572">
        <f>N44/'Fore - P&amp; L'!O12</f>
        <v>-3.2547729732838995E-2</v>
      </c>
      <c r="O45" s="572">
        <f>O44/'Fore - P&amp; L'!P12</f>
        <v>-3.4359536693152885E-2</v>
      </c>
      <c r="P45" s="572">
        <f>P44/'Fore - P&amp; L'!Q12</f>
        <v>-4.4153933818969655E-2</v>
      </c>
      <c r="Q45" s="572">
        <f>Q44/'Fore - P&amp; L'!R12</f>
        <v>-4.5457880153273011E-2</v>
      </c>
      <c r="R45" s="572">
        <f>R44/'Fore - P&amp; L'!S12</f>
        <v>-4.5334388275495914E-2</v>
      </c>
      <c r="S45" s="557">
        <f>AVERAGE(P45:R45)</f>
        <v>-4.4982067415912853E-2</v>
      </c>
    </row>
    <row r="46" spans="2:24">
      <c r="B46" s="546"/>
      <c r="C46" s="3" t="s">
        <v>142</v>
      </c>
      <c r="N46" s="525">
        <v>4.88</v>
      </c>
      <c r="O46" s="525">
        <v>4.93</v>
      </c>
      <c r="P46" s="525">
        <v>23.38</v>
      </c>
      <c r="Q46" s="525">
        <v>2.98</v>
      </c>
      <c r="R46" s="525">
        <v>30.43</v>
      </c>
      <c r="S46" s="556"/>
    </row>
    <row r="47" spans="2:24">
      <c r="B47" s="546"/>
      <c r="C47" s="3" t="s">
        <v>584</v>
      </c>
      <c r="N47" s="525"/>
      <c r="O47" s="525"/>
      <c r="P47" s="525">
        <v>-481.32</v>
      </c>
      <c r="Q47" s="525"/>
      <c r="R47" s="525"/>
      <c r="S47" s="556"/>
    </row>
    <row r="48" spans="2:24">
      <c r="B48" s="546"/>
      <c r="C48" s="3" t="s">
        <v>583</v>
      </c>
      <c r="N48" s="525">
        <v>-7634.78</v>
      </c>
      <c r="O48" s="525">
        <v>-7506.66</v>
      </c>
      <c r="P48" s="525">
        <v>-4177.43</v>
      </c>
      <c r="Q48" s="525">
        <v>-5142.12</v>
      </c>
      <c r="R48" s="525">
        <v>-6188.4</v>
      </c>
      <c r="S48" s="556"/>
    </row>
    <row r="49" spans="2:19">
      <c r="B49" s="546"/>
      <c r="C49" s="3" t="s">
        <v>143</v>
      </c>
      <c r="N49" s="525">
        <v>6273.72</v>
      </c>
      <c r="O49" s="525">
        <v>6233.61</v>
      </c>
      <c r="P49" s="525">
        <v>4163.7299999999996</v>
      </c>
      <c r="Q49" s="525">
        <v>4344.3100000000004</v>
      </c>
      <c r="R49" s="525">
        <v>5873.12</v>
      </c>
      <c r="S49" s="556"/>
    </row>
    <row r="50" spans="2:19">
      <c r="B50" s="546"/>
      <c r="C50" s="3" t="s">
        <v>144</v>
      </c>
      <c r="N50" s="525">
        <v>261.61</v>
      </c>
      <c r="O50" s="525">
        <v>366.8</v>
      </c>
      <c r="P50" s="525">
        <v>394.19</v>
      </c>
      <c r="Q50" s="525">
        <v>386.95</v>
      </c>
      <c r="R50" s="525">
        <v>399.28</v>
      </c>
      <c r="S50" s="556"/>
    </row>
    <row r="51" spans="2:19" ht="28" thickBot="1">
      <c r="B51" s="546"/>
      <c r="C51" s="539" t="s">
        <v>145</v>
      </c>
      <c r="D51" s="543"/>
      <c r="E51" s="543"/>
      <c r="F51" s="543"/>
      <c r="G51" s="543"/>
      <c r="H51" s="543"/>
      <c r="I51" s="543"/>
      <c r="J51" s="543"/>
      <c r="K51" s="543"/>
      <c r="L51" s="543"/>
      <c r="M51" s="543"/>
      <c r="N51" s="542">
        <f>SUM(N44:N50)</f>
        <v>-1405.8125477297322</v>
      </c>
      <c r="O51" s="542">
        <f>SUM(O44:O50)</f>
        <v>-1275.4843595366931</v>
      </c>
      <c r="P51" s="542">
        <f>SUM(P44:P50)</f>
        <v>-586.58415393381938</v>
      </c>
      <c r="Q51" s="542">
        <f t="shared" ref="Q51:R51" si="3">SUM(Q44:Q50)</f>
        <v>-971.78545788015231</v>
      </c>
      <c r="R51" s="542">
        <f t="shared" si="3"/>
        <v>-455.15533438827492</v>
      </c>
      <c r="S51" s="556"/>
    </row>
    <row r="52" spans="2:19">
      <c r="B52" s="546"/>
      <c r="N52" s="525"/>
      <c r="O52" s="525"/>
      <c r="P52" s="525"/>
      <c r="Q52" s="525"/>
      <c r="R52" s="525"/>
      <c r="S52" s="556"/>
    </row>
    <row r="53" spans="2:19">
      <c r="B53" s="545" t="s">
        <v>146</v>
      </c>
      <c r="C53" s="2" t="s">
        <v>147</v>
      </c>
      <c r="N53" s="525"/>
      <c r="O53" s="525"/>
      <c r="P53" s="525"/>
      <c r="Q53" s="525"/>
      <c r="R53" s="525"/>
      <c r="S53" s="556"/>
    </row>
    <row r="54" spans="2:19">
      <c r="B54" s="547"/>
      <c r="C54" s="3" t="s">
        <v>148</v>
      </c>
      <c r="N54" s="525">
        <v>0.03</v>
      </c>
      <c r="O54" s="525">
        <v>0.05</v>
      </c>
      <c r="P54" s="525">
        <v>0.39</v>
      </c>
      <c r="Q54" s="525">
        <v>0.03</v>
      </c>
      <c r="R54" s="525">
        <v>0.03</v>
      </c>
      <c r="S54" s="556"/>
    </row>
    <row r="55" spans="2:19">
      <c r="B55" s="547"/>
      <c r="C55" s="3" t="s">
        <v>149</v>
      </c>
      <c r="N55" s="525">
        <v>-27.77</v>
      </c>
      <c r="O55" s="525">
        <v>248.95</v>
      </c>
      <c r="P55" s="525">
        <v>-1.26</v>
      </c>
      <c r="Q55" s="525">
        <v>-11.85</v>
      </c>
      <c r="R55" s="525">
        <v>-261.86</v>
      </c>
      <c r="S55" s="556"/>
    </row>
    <row r="56" spans="2:19">
      <c r="B56" s="547"/>
      <c r="C56" s="3" t="s">
        <v>150</v>
      </c>
      <c r="N56" s="525"/>
      <c r="O56" s="525"/>
      <c r="P56" s="525"/>
      <c r="Q56" s="525">
        <v>248.86</v>
      </c>
      <c r="R56" s="525">
        <v>29.92</v>
      </c>
      <c r="S56" s="556"/>
    </row>
    <row r="57" spans="2:19">
      <c r="B57" s="547"/>
      <c r="C57" s="3" t="s">
        <v>151</v>
      </c>
      <c r="N57" s="525"/>
      <c r="O57" s="525"/>
      <c r="P57" s="525">
        <v>50.05</v>
      </c>
      <c r="Q57" s="525">
        <v>-666.42</v>
      </c>
      <c r="R57" s="525">
        <v>-593.15</v>
      </c>
      <c r="S57" s="556"/>
    </row>
    <row r="58" spans="2:19">
      <c r="B58" s="547"/>
      <c r="C58" s="3" t="s">
        <v>152</v>
      </c>
      <c r="N58" s="525">
        <v>64.650000000000006</v>
      </c>
      <c r="O58" s="525">
        <v>291.85000000000002</v>
      </c>
      <c r="P58" s="525">
        <v>-25.47</v>
      </c>
      <c r="Q58" s="525">
        <v>382.23</v>
      </c>
      <c r="R58" s="525">
        <v>608.26</v>
      </c>
      <c r="S58" s="556"/>
    </row>
    <row r="59" spans="2:19">
      <c r="B59" s="547"/>
      <c r="C59" s="3" t="s">
        <v>153</v>
      </c>
      <c r="N59" s="525">
        <v>-27.61</v>
      </c>
      <c r="O59" s="525">
        <v>-25.61</v>
      </c>
      <c r="P59" s="525">
        <v>-10.63</v>
      </c>
      <c r="Q59" s="525">
        <v>-28.94</v>
      </c>
      <c r="R59" s="525">
        <v>-33.909999999999997</v>
      </c>
      <c r="S59" s="556"/>
    </row>
    <row r="60" spans="2:19">
      <c r="B60" s="547"/>
      <c r="C60" s="3" t="s">
        <v>154</v>
      </c>
      <c r="N60" s="525">
        <v>-11.27</v>
      </c>
      <c r="O60" s="525">
        <v>-11.56</v>
      </c>
      <c r="P60" s="525">
        <v>-49.1</v>
      </c>
      <c r="Q60" s="525">
        <v>-12.65</v>
      </c>
      <c r="R60" s="525">
        <v>-15.08</v>
      </c>
      <c r="S60" s="556"/>
    </row>
    <row r="61" spans="2:19">
      <c r="B61" s="547"/>
      <c r="C61" s="3" t="s">
        <v>155</v>
      </c>
      <c r="N61" s="525">
        <v>-592.09</v>
      </c>
      <c r="O61" s="525">
        <v>-972.32</v>
      </c>
      <c r="P61" s="525">
        <v>-921.31</v>
      </c>
      <c r="Q61" s="525">
        <v>-965.76</v>
      </c>
      <c r="R61" s="525">
        <v>-974.78</v>
      </c>
      <c r="S61" s="556"/>
    </row>
    <row r="62" spans="2:19">
      <c r="B62" s="547"/>
      <c r="C62" s="3" t="s">
        <v>156</v>
      </c>
      <c r="N62" s="525">
        <v>-19.350000000000001</v>
      </c>
      <c r="O62" s="525">
        <v>-21.85</v>
      </c>
      <c r="P62" s="525">
        <v>-77.900000000000006</v>
      </c>
      <c r="Q62" s="525">
        <v>-106.68</v>
      </c>
      <c r="R62" s="525">
        <v>-164.77</v>
      </c>
      <c r="S62" s="556"/>
    </row>
    <row r="63" spans="2:19" ht="28" thickBot="1">
      <c r="B63" s="547"/>
      <c r="C63" s="539" t="s">
        <v>157</v>
      </c>
      <c r="D63" s="543"/>
      <c r="E63" s="543"/>
      <c r="F63" s="543"/>
      <c r="G63" s="543"/>
      <c r="H63" s="543"/>
      <c r="I63" s="543"/>
      <c r="J63" s="543"/>
      <c r="K63" s="543"/>
      <c r="L63" s="543"/>
      <c r="M63" s="543"/>
      <c r="N63" s="542">
        <f>SUM(N54:N62)</f>
        <v>-613.41000000000008</v>
      </c>
      <c r="O63" s="542">
        <f>SUM(O54:O62)</f>
        <v>-490.49000000000007</v>
      </c>
      <c r="P63" s="542">
        <f>SUM(P54:P62)</f>
        <v>-1035.23</v>
      </c>
      <c r="Q63" s="542">
        <f t="shared" ref="Q63:R63" si="4">SUM(Q54:Q62)</f>
        <v>-1161.18</v>
      </c>
      <c r="R63" s="542">
        <f t="shared" si="4"/>
        <v>-1405.34</v>
      </c>
      <c r="S63" s="556"/>
    </row>
    <row r="64" spans="2:19">
      <c r="B64" s="547"/>
      <c r="N64" s="525"/>
      <c r="O64" s="525"/>
      <c r="P64" s="525"/>
      <c r="Q64" s="525"/>
      <c r="R64" s="525"/>
      <c r="S64" s="556"/>
    </row>
    <row r="65" spans="2:19">
      <c r="B65" s="547"/>
      <c r="C65" s="3" t="s">
        <v>158</v>
      </c>
      <c r="N65" s="525">
        <f>N63+N51+N41</f>
        <v>95.447452270267831</v>
      </c>
      <c r="O65" s="525">
        <f>O63+O51+O41</f>
        <v>36.355640463306827</v>
      </c>
      <c r="P65" s="525">
        <f t="shared" ref="P65:R65" si="5">P63+P51+P41</f>
        <v>-133.38415393381979</v>
      </c>
      <c r="Q65" s="525">
        <f t="shared" si="5"/>
        <v>-119.49545788015257</v>
      </c>
      <c r="R65" s="525">
        <f t="shared" si="5"/>
        <v>126.25466561172425</v>
      </c>
      <c r="S65" s="556"/>
    </row>
    <row r="66" spans="2:19">
      <c r="B66" s="547"/>
      <c r="C66" s="3" t="s">
        <v>159</v>
      </c>
      <c r="N66" s="525">
        <v>91.74</v>
      </c>
      <c r="O66" s="525">
        <v>188.78</v>
      </c>
      <c r="P66" s="525">
        <v>227.17</v>
      </c>
      <c r="Q66" s="525">
        <v>97.57</v>
      </c>
      <c r="R66" s="525">
        <v>-21.18</v>
      </c>
      <c r="S66" s="556"/>
    </row>
    <row r="67" spans="2:19">
      <c r="B67" s="547"/>
      <c r="C67" s="3" t="s">
        <v>585</v>
      </c>
      <c r="N67" s="525"/>
      <c r="O67" s="525"/>
      <c r="P67" s="525">
        <v>1.41</v>
      </c>
      <c r="Q67" s="525"/>
      <c r="R67" s="525"/>
      <c r="S67" s="556"/>
    </row>
    <row r="68" spans="2:19">
      <c r="B68" s="547"/>
      <c r="C68" s="3" t="s">
        <v>160</v>
      </c>
      <c r="N68" s="525">
        <v>1.56</v>
      </c>
      <c r="O68" s="525">
        <v>2</v>
      </c>
      <c r="P68" s="525">
        <v>2.34</v>
      </c>
      <c r="Q68" s="525">
        <v>0.7</v>
      </c>
      <c r="R68" s="525">
        <v>0.85</v>
      </c>
      <c r="S68" s="556"/>
    </row>
    <row r="69" spans="2:19" ht="28" thickBot="1">
      <c r="B69" s="547"/>
      <c r="C69" s="539" t="s">
        <v>161</v>
      </c>
      <c r="D69" s="543"/>
      <c r="E69" s="543"/>
      <c r="F69" s="543"/>
      <c r="G69" s="543"/>
      <c r="H69" s="543"/>
      <c r="I69" s="543"/>
      <c r="J69" s="543"/>
      <c r="K69" s="543"/>
      <c r="L69" s="543"/>
      <c r="M69" s="543"/>
      <c r="N69" s="542">
        <v>188.78</v>
      </c>
      <c r="O69" s="542">
        <v>227.17</v>
      </c>
      <c r="P69" s="542">
        <v>97.57</v>
      </c>
      <c r="Q69" s="542">
        <v>-21.18</v>
      </c>
      <c r="R69" s="542">
        <v>111.97</v>
      </c>
      <c r="S69" s="556"/>
    </row>
    <row r="70" spans="2:19">
      <c r="B70" s="547"/>
      <c r="C70" s="3" t="s">
        <v>162</v>
      </c>
      <c r="N70" s="525"/>
      <c r="O70" s="525"/>
      <c r="P70" s="525"/>
      <c r="Q70" s="525"/>
      <c r="R70" s="525"/>
      <c r="S70" s="556"/>
    </row>
    <row r="71" spans="2:19">
      <c r="B71" s="547"/>
      <c r="C71" s="2" t="s">
        <v>163</v>
      </c>
      <c r="N71" s="526">
        <v>241.23</v>
      </c>
      <c r="O71" s="526">
        <v>255.91</v>
      </c>
      <c r="P71" s="526">
        <v>146.82</v>
      </c>
      <c r="Q71" s="526">
        <v>247.6</v>
      </c>
      <c r="R71" s="526">
        <v>184.27</v>
      </c>
      <c r="S71" s="556"/>
    </row>
    <row r="72" spans="2:19">
      <c r="B72" s="547"/>
      <c r="C72" s="3" t="s">
        <v>165</v>
      </c>
      <c r="N72" s="525">
        <v>-36.729999999999997</v>
      </c>
      <c r="O72" s="525">
        <v>-25.5</v>
      </c>
      <c r="P72" s="525">
        <v>-49.25</v>
      </c>
      <c r="Q72" s="525">
        <v>-268.77999999999997</v>
      </c>
      <c r="R72" s="525">
        <v>-71.92</v>
      </c>
      <c r="S72" s="556"/>
    </row>
    <row r="73" spans="2:19">
      <c r="B73" s="547"/>
      <c r="C73" s="3" t="s">
        <v>164</v>
      </c>
      <c r="N73" s="525">
        <v>-15.72</v>
      </c>
      <c r="O73" s="525">
        <v>-3.24</v>
      </c>
      <c r="P73" s="525"/>
      <c r="Q73" s="525"/>
      <c r="R73" s="525">
        <v>-0.38</v>
      </c>
      <c r="S73" s="556"/>
    </row>
    <row r="74" spans="2:19" ht="28" thickBot="1">
      <c r="B74" s="548"/>
      <c r="C74" s="539" t="s">
        <v>166</v>
      </c>
      <c r="D74" s="543"/>
      <c r="E74" s="543"/>
      <c r="F74" s="543"/>
      <c r="G74" s="543"/>
      <c r="H74" s="543"/>
      <c r="I74" s="543"/>
      <c r="J74" s="543"/>
      <c r="K74" s="543"/>
      <c r="L74" s="543"/>
      <c r="M74" s="543"/>
      <c r="N74" s="542">
        <v>188.78</v>
      </c>
      <c r="O74" s="542">
        <v>227.17</v>
      </c>
      <c r="P74" s="542">
        <v>97.57</v>
      </c>
      <c r="Q74" s="542">
        <v>-21.18</v>
      </c>
      <c r="R74" s="542">
        <v>111.97</v>
      </c>
      <c r="S74" s="556"/>
    </row>
    <row r="75" spans="2:19">
      <c r="S75" s="556"/>
    </row>
    <row r="76" spans="2:19">
      <c r="S76" s="556"/>
    </row>
    <row r="77" spans="2:19">
      <c r="S77" s="556"/>
    </row>
    <row r="78" spans="2:19">
      <c r="S78" s="556"/>
    </row>
    <row r="79" spans="2:19">
      <c r="S79" s="556"/>
    </row>
    <row r="80" spans="2:19">
      <c r="S80" s="556"/>
    </row>
    <row r="81" spans="19:19">
      <c r="S81" s="556"/>
    </row>
    <row r="82" spans="19:19">
      <c r="S82" s="556"/>
    </row>
    <row r="83" spans="19:19">
      <c r="S83" s="556"/>
    </row>
    <row r="84" spans="19:19">
      <c r="S84" s="556"/>
    </row>
    <row r="85" spans="19:19">
      <c r="S85" s="556"/>
    </row>
    <row r="86" spans="19:19">
      <c r="S86" s="556"/>
    </row>
    <row r="87" spans="19:19">
      <c r="S87" s="556"/>
    </row>
  </sheetData>
  <mergeCells count="5">
    <mergeCell ref="B8:R8"/>
    <mergeCell ref="T8:X8"/>
    <mergeCell ref="B9:R9"/>
    <mergeCell ref="T9:X9"/>
    <mergeCell ref="S8:S10"/>
  </mergeCells>
  <pageMargins left="0.7" right="0.7" top="0.75" bottom="0.75" header="0.3" footer="0.3"/>
  <pageSetup paperSize="9" orientation="portrait" horizontalDpi="0" verticalDpi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1D6DC-E824-BE47-8012-F11A37522294}">
  <sheetPr codeName="Sheet7">
    <tabColor theme="6"/>
  </sheetPr>
  <dimension ref="A1:AA160"/>
  <sheetViews>
    <sheetView zoomScale="40" zoomScaleNormal="75" workbookViewId="0">
      <pane ySplit="2" topLeftCell="A3" activePane="bottomLeft" state="frozen"/>
      <selection activeCell="T34" sqref="T34"/>
      <selection pane="bottomLeft" activeCell="W51" sqref="W51"/>
    </sheetView>
  </sheetViews>
  <sheetFormatPr baseColWidth="10" defaultRowHeight="27" outlineLevelRow="3"/>
  <cols>
    <col min="1" max="1" width="14" style="49" customWidth="1"/>
    <col min="2" max="4" width="10.83203125" style="49"/>
    <col min="5" max="5" width="17.33203125" style="49" customWidth="1"/>
    <col min="6" max="6" width="18.33203125" style="49" bestFit="1" customWidth="1"/>
    <col min="7" max="9" width="17.1640625" style="49" bestFit="1" customWidth="1"/>
    <col min="10" max="11" width="18.6640625" style="49" bestFit="1" customWidth="1"/>
    <col min="12" max="12" width="21.83203125" style="49" bestFit="1" customWidth="1"/>
    <col min="13" max="13" width="18.6640625" style="49" bestFit="1" customWidth="1"/>
    <col min="14" max="14" width="18.83203125" style="49" customWidth="1"/>
    <col min="15" max="15" width="21" style="49" customWidth="1"/>
    <col min="16" max="16" width="20.83203125" style="49" customWidth="1"/>
    <col min="17" max="17" width="10.83203125" style="49"/>
    <col min="18" max="25" width="17" style="49" bestFit="1" customWidth="1"/>
    <col min="26" max="16384" width="10.83203125" style="49"/>
  </cols>
  <sheetData>
    <row r="1" spans="2:26" ht="89">
      <c r="B1" s="616" t="s">
        <v>460</v>
      </c>
    </row>
    <row r="2" spans="2:26" ht="32">
      <c r="B2" s="391" t="s">
        <v>527</v>
      </c>
      <c r="C2" s="391"/>
      <c r="D2" s="391"/>
      <c r="E2" s="391"/>
      <c r="F2" s="391">
        <v>2018</v>
      </c>
      <c r="G2" s="391">
        <v>2019</v>
      </c>
      <c r="H2" s="391">
        <v>2020</v>
      </c>
      <c r="I2" s="391">
        <v>2021</v>
      </c>
      <c r="J2" s="391">
        <v>2022</v>
      </c>
      <c r="K2" s="391">
        <v>2023</v>
      </c>
      <c r="L2" s="391">
        <v>2024</v>
      </c>
      <c r="M2" s="391">
        <v>2025</v>
      </c>
      <c r="N2" s="448"/>
      <c r="O2" s="620" t="s">
        <v>648</v>
      </c>
      <c r="P2" s="621" t="s">
        <v>649</v>
      </c>
    </row>
    <row r="3" spans="2:26" s="1" customFormat="1" ht="32">
      <c r="B3" s="448"/>
      <c r="C3" s="448"/>
      <c r="D3" s="448"/>
      <c r="E3" s="448"/>
      <c r="F3" s="448"/>
      <c r="G3" s="448"/>
      <c r="H3" s="448"/>
      <c r="I3" s="448"/>
      <c r="J3" s="448"/>
      <c r="K3" s="448"/>
      <c r="L3" s="448"/>
      <c r="M3" s="448"/>
      <c r="O3" s="618"/>
    </row>
    <row r="4" spans="2:26" ht="37" thickBot="1">
      <c r="B4" s="449" t="s">
        <v>461</v>
      </c>
      <c r="O4" s="617"/>
    </row>
    <row r="5" spans="2:26" ht="28" outlineLevel="1" thickBot="1">
      <c r="B5" s="435" t="s">
        <v>466</v>
      </c>
      <c r="C5" s="435"/>
      <c r="D5" s="436"/>
      <c r="E5" s="436"/>
      <c r="F5" s="436">
        <f>F7/F8</f>
        <v>2.1338215280927999</v>
      </c>
      <c r="G5" s="436">
        <f t="shared" ref="G5:M5" si="0">G7/G8</f>
        <v>1.4696200280582508</v>
      </c>
      <c r="H5" s="436">
        <f t="shared" si="0"/>
        <v>2.3805319554738706</v>
      </c>
      <c r="I5" s="436">
        <f t="shared" si="0"/>
        <v>1.9299253584757414</v>
      </c>
      <c r="J5" s="436">
        <f t="shared" si="0"/>
        <v>0.8487800227919734</v>
      </c>
      <c r="K5" s="436">
        <f t="shared" si="0"/>
        <v>0.80727108287225635</v>
      </c>
      <c r="L5" s="436">
        <f t="shared" si="0"/>
        <v>1.1294210022033668</v>
      </c>
      <c r="M5" s="436">
        <f t="shared" si="0"/>
        <v>0.92404517715282053</v>
      </c>
      <c r="O5" s="622">
        <f>AVERAGE(F5:M5)</f>
        <v>1.4529270193901349</v>
      </c>
      <c r="P5" s="622">
        <f>MEDIAN(F5:M5)</f>
        <v>1.2995205151308089</v>
      </c>
    </row>
    <row r="6" spans="2:26" ht="28" outlineLevel="1" thickBot="1">
      <c r="B6" s="417"/>
      <c r="C6" s="408" t="s">
        <v>528</v>
      </c>
      <c r="D6" s="409"/>
      <c r="E6" s="410"/>
      <c r="F6" s="411"/>
      <c r="G6" s="411">
        <f>(G5-F5)/F5</f>
        <v>-0.31127322097467519</v>
      </c>
      <c r="H6" s="411">
        <f>(H5-G5)/G5</f>
        <v>0.61982819369927256</v>
      </c>
      <c r="I6" s="411">
        <f t="shared" ref="I6" si="1">(I5-H5)/H5</f>
        <v>-0.18928819500279764</v>
      </c>
      <c r="J6" s="411">
        <f t="shared" ref="J6" si="2">(J5-I5)/I5</f>
        <v>-0.56020059580835746</v>
      </c>
      <c r="K6" s="411">
        <f t="shared" ref="K6" si="3">(K5-J5)/J5</f>
        <v>-4.8904237617631144E-2</v>
      </c>
      <c r="L6" s="411">
        <f t="shared" ref="L6" si="4">(L5-K5)/K5</f>
        <v>0.3990603976360787</v>
      </c>
      <c r="M6" s="428">
        <f t="shared" ref="M6" si="5">(M5-L5)/L5</f>
        <v>-0.18184169114075474</v>
      </c>
      <c r="O6" s="617"/>
      <c r="P6" s="617"/>
    </row>
    <row r="7" spans="2:26" outlineLevel="2">
      <c r="B7" s="417"/>
      <c r="C7" s="420" t="s">
        <v>487</v>
      </c>
      <c r="D7" s="421"/>
      <c r="E7" s="421"/>
      <c r="F7" s="453">
        <v>2634.16</v>
      </c>
      <c r="G7" s="453">
        <v>2231.2800000000002</v>
      </c>
      <c r="H7" s="453">
        <v>3432.37</v>
      </c>
      <c r="I7" s="453">
        <v>3930.1</v>
      </c>
      <c r="J7" s="453">
        <v>1958.84</v>
      </c>
      <c r="K7" s="453">
        <v>2124.35</v>
      </c>
      <c r="L7" s="453">
        <v>3265.19</v>
      </c>
      <c r="M7" s="454">
        <v>2829.99</v>
      </c>
      <c r="O7" s="617"/>
      <c r="P7" s="617"/>
    </row>
    <row r="8" spans="2:26" ht="28" outlineLevel="2" thickBot="1">
      <c r="B8" s="418"/>
      <c r="C8" s="424" t="s">
        <v>488</v>
      </c>
      <c r="D8" s="425"/>
      <c r="E8" s="425"/>
      <c r="F8" s="455">
        <v>1234.48</v>
      </c>
      <c r="G8" s="455">
        <v>1518.27</v>
      </c>
      <c r="H8" s="455">
        <v>1441.85</v>
      </c>
      <c r="I8" s="455">
        <v>2036.4</v>
      </c>
      <c r="J8" s="455">
        <v>2307.83</v>
      </c>
      <c r="K8" s="455">
        <v>2631.52</v>
      </c>
      <c r="L8" s="455">
        <v>2891.03</v>
      </c>
      <c r="M8" s="456">
        <v>3062.61</v>
      </c>
      <c r="O8" s="617"/>
      <c r="P8" s="617"/>
    </row>
    <row r="9" spans="2:26" ht="28" outlineLevel="2" thickBot="1">
      <c r="O9" s="617"/>
      <c r="P9" s="617"/>
    </row>
    <row r="10" spans="2:26" ht="28" outlineLevel="1" thickBot="1">
      <c r="B10" s="435" t="s">
        <v>489</v>
      </c>
      <c r="C10" s="436"/>
      <c r="D10" s="436"/>
      <c r="E10" s="436"/>
      <c r="F10" s="436">
        <f t="shared" ref="F10:M10" si="6">F12/F16</f>
        <v>1.0183721080940962</v>
      </c>
      <c r="G10" s="436">
        <f t="shared" si="6"/>
        <v>0.53171043358559422</v>
      </c>
      <c r="H10" s="436">
        <f t="shared" si="6"/>
        <v>1.3346533966778791</v>
      </c>
      <c r="I10" s="436">
        <f t="shared" si="6"/>
        <v>1.0106560597132193</v>
      </c>
      <c r="J10" s="436">
        <f t="shared" si="6"/>
        <v>-4.2966769649410957E-2</v>
      </c>
      <c r="K10" s="436">
        <f t="shared" si="6"/>
        <v>-2.4700553292397205E-4</v>
      </c>
      <c r="L10" s="436">
        <f t="shared" si="6"/>
        <v>0.38124474668197839</v>
      </c>
      <c r="M10" s="463">
        <f t="shared" si="6"/>
        <v>6.9545257149947193E-2</v>
      </c>
      <c r="O10" s="622">
        <f>AVERAGE(F10:M10)</f>
        <v>0.53787102834004741</v>
      </c>
      <c r="P10" s="622">
        <f>MEDIAN(F10:M10)</f>
        <v>0.4564775901337863</v>
      </c>
      <c r="S10" s="1"/>
      <c r="T10" s="1"/>
      <c r="U10" s="1"/>
      <c r="V10" s="1"/>
      <c r="W10" s="1"/>
      <c r="X10" s="1"/>
      <c r="Y10" s="1"/>
      <c r="Z10" s="1"/>
    </row>
    <row r="11" spans="2:26" ht="28" outlineLevel="1" thickBot="1">
      <c r="B11" s="417"/>
      <c r="C11" s="408" t="s">
        <v>528</v>
      </c>
      <c r="D11" s="409"/>
      <c r="E11" s="410"/>
      <c r="F11" s="411"/>
      <c r="G11" s="411">
        <f>(G10-F10)/F10</f>
        <v>-0.47788197520383685</v>
      </c>
      <c r="H11" s="411">
        <f>(H10-G10)/G10</f>
        <v>1.5101132352766364</v>
      </c>
      <c r="I11" s="411">
        <f t="shared" ref="I11" si="7">(I10-H10)/H10</f>
        <v>-0.24275766110596964</v>
      </c>
      <c r="J11" s="411">
        <f t="shared" ref="J11" si="8">(J10-I10)/I10</f>
        <v>-1.042513740689986</v>
      </c>
      <c r="K11" s="411">
        <f t="shared" ref="K11" si="9">(K10-J10)/J10</f>
        <v>-0.99425124264776199</v>
      </c>
      <c r="L11" s="411">
        <f t="shared" ref="L11" si="10">(L10-K10)/K10</f>
        <v>-1544.4664242898759</v>
      </c>
      <c r="M11" s="428">
        <f t="shared" ref="M11" si="11">(M10-L10)/L10</f>
        <v>-0.817583697204464</v>
      </c>
      <c r="O11" s="617"/>
      <c r="P11" s="617"/>
      <c r="S11" s="451"/>
      <c r="T11" s="451"/>
      <c r="U11" s="451"/>
      <c r="V11" s="451"/>
      <c r="W11" s="451"/>
      <c r="X11" s="451"/>
      <c r="Y11" s="451"/>
      <c r="Z11" s="451"/>
    </row>
    <row r="12" spans="2:26" outlineLevel="2">
      <c r="B12" s="417"/>
      <c r="C12" s="420" t="s">
        <v>490</v>
      </c>
      <c r="D12" s="421"/>
      <c r="E12" s="421"/>
      <c r="F12" s="422">
        <f t="shared" ref="F12:M12" si="12">F13-F14-F15</f>
        <v>1257.1599999999999</v>
      </c>
      <c r="G12" s="422">
        <f t="shared" si="12"/>
        <v>807.2800000000002</v>
      </c>
      <c r="H12" s="422">
        <f t="shared" si="12"/>
        <v>1924.37</v>
      </c>
      <c r="I12" s="422">
        <f t="shared" si="12"/>
        <v>2058.1</v>
      </c>
      <c r="J12" s="422">
        <f t="shared" si="12"/>
        <v>-99.160000000000082</v>
      </c>
      <c r="K12" s="422">
        <f t="shared" si="12"/>
        <v>-0.65000000000009095</v>
      </c>
      <c r="L12" s="422">
        <f t="shared" si="12"/>
        <v>1102.19</v>
      </c>
      <c r="M12" s="423">
        <f t="shared" si="12"/>
        <v>212.98999999999978</v>
      </c>
      <c r="O12" s="617"/>
      <c r="P12" s="617"/>
    </row>
    <row r="13" spans="2:26" outlineLevel="3">
      <c r="B13" s="417"/>
      <c r="C13" s="417"/>
      <c r="D13" s="49" t="s">
        <v>487</v>
      </c>
      <c r="F13" s="458">
        <f t="shared" ref="F13:M13" si="13">F7</f>
        <v>2634.16</v>
      </c>
      <c r="G13" s="458">
        <f t="shared" si="13"/>
        <v>2231.2800000000002</v>
      </c>
      <c r="H13" s="458">
        <f t="shared" si="13"/>
        <v>3432.37</v>
      </c>
      <c r="I13" s="458">
        <f t="shared" si="13"/>
        <v>3930.1</v>
      </c>
      <c r="J13" s="458">
        <f t="shared" si="13"/>
        <v>1958.84</v>
      </c>
      <c r="K13" s="458">
        <f t="shared" si="13"/>
        <v>2124.35</v>
      </c>
      <c r="L13" s="458">
        <f t="shared" si="13"/>
        <v>3265.19</v>
      </c>
      <c r="M13" s="459">
        <f t="shared" si="13"/>
        <v>2829.99</v>
      </c>
      <c r="O13" s="617"/>
      <c r="P13" s="617"/>
    </row>
    <row r="14" spans="2:26" outlineLevel="3">
      <c r="B14" s="417"/>
      <c r="C14" s="417"/>
      <c r="D14" s="49" t="s">
        <v>130</v>
      </c>
      <c r="F14" s="379">
        <v>1256</v>
      </c>
      <c r="G14" s="379">
        <v>1301</v>
      </c>
      <c r="H14" s="379">
        <v>1380</v>
      </c>
      <c r="I14" s="379">
        <v>1734</v>
      </c>
      <c r="J14" s="379">
        <v>1911</v>
      </c>
      <c r="K14" s="379">
        <v>2024</v>
      </c>
      <c r="L14" s="379">
        <v>1947</v>
      </c>
      <c r="M14" s="461">
        <v>2300</v>
      </c>
      <c r="O14" s="617"/>
      <c r="P14" s="617"/>
    </row>
    <row r="15" spans="2:26" outlineLevel="3">
      <c r="B15" s="417"/>
      <c r="C15" s="417"/>
      <c r="D15" s="49" t="s">
        <v>491</v>
      </c>
      <c r="F15" s="379">
        <v>121</v>
      </c>
      <c r="G15" s="379">
        <v>123</v>
      </c>
      <c r="H15" s="379">
        <v>128</v>
      </c>
      <c r="I15" s="379">
        <v>138</v>
      </c>
      <c r="J15" s="379">
        <v>147</v>
      </c>
      <c r="K15" s="379">
        <v>101</v>
      </c>
      <c r="L15" s="379">
        <v>216</v>
      </c>
      <c r="M15" s="461">
        <v>317</v>
      </c>
      <c r="O15" s="617"/>
      <c r="P15" s="617"/>
    </row>
    <row r="16" spans="2:26" ht="28" outlineLevel="2" thickBot="1">
      <c r="B16" s="418"/>
      <c r="C16" s="424" t="s">
        <v>488</v>
      </c>
      <c r="D16" s="425"/>
      <c r="E16" s="425"/>
      <c r="F16" s="426">
        <f t="shared" ref="F16:M16" si="14">F8</f>
        <v>1234.48</v>
      </c>
      <c r="G16" s="426">
        <f t="shared" si="14"/>
        <v>1518.27</v>
      </c>
      <c r="H16" s="426">
        <f t="shared" si="14"/>
        <v>1441.85</v>
      </c>
      <c r="I16" s="426">
        <f t="shared" si="14"/>
        <v>2036.4</v>
      </c>
      <c r="J16" s="426">
        <f t="shared" si="14"/>
        <v>2307.83</v>
      </c>
      <c r="K16" s="426">
        <f t="shared" si="14"/>
        <v>2631.52</v>
      </c>
      <c r="L16" s="426">
        <f t="shared" si="14"/>
        <v>2891.03</v>
      </c>
      <c r="M16" s="427">
        <f t="shared" si="14"/>
        <v>3062.61</v>
      </c>
      <c r="O16" s="617"/>
      <c r="P16" s="617"/>
    </row>
    <row r="17" spans="2:27" ht="28" outlineLevel="2" thickBot="1">
      <c r="O17" s="617"/>
      <c r="P17" s="617"/>
    </row>
    <row r="18" spans="2:27" ht="28" outlineLevel="1" thickBot="1">
      <c r="B18" s="435" t="s">
        <v>467</v>
      </c>
      <c r="C18" s="436"/>
      <c r="D18" s="436"/>
      <c r="E18" s="436"/>
      <c r="F18" s="436">
        <f>F20/F21</f>
        <v>0.24787764888860087</v>
      </c>
      <c r="G18" s="436">
        <f t="shared" ref="G18:M18" si="15">G20/G21</f>
        <v>0.21603535603021862</v>
      </c>
      <c r="H18" s="436">
        <f t="shared" si="15"/>
        <v>0.56247182439227383</v>
      </c>
      <c r="I18" s="436">
        <f t="shared" si="15"/>
        <v>0.65262227460223921</v>
      </c>
      <c r="J18" s="436">
        <f t="shared" si="15"/>
        <v>0.24698526321262831</v>
      </c>
      <c r="K18" s="436">
        <f t="shared" si="15"/>
        <v>0.12388277497415942</v>
      </c>
      <c r="L18" s="436">
        <f t="shared" si="15"/>
        <v>0.23036772361407523</v>
      </c>
      <c r="M18" s="463">
        <f t="shared" si="15"/>
        <v>0.18872791507896858</v>
      </c>
      <c r="O18" s="622">
        <f>AVERAGE(F18:M18)</f>
        <v>0.3086213475991455</v>
      </c>
      <c r="P18" s="622">
        <f>MEDIAN(F18:M18)</f>
        <v>0.23867649341335179</v>
      </c>
    </row>
    <row r="19" spans="2:27" ht="28" outlineLevel="1" thickBot="1">
      <c r="B19" s="417"/>
      <c r="C19" s="408" t="s">
        <v>528</v>
      </c>
      <c r="D19" s="409"/>
      <c r="E19" s="410"/>
      <c r="F19" s="411"/>
      <c r="G19" s="411">
        <f>(G18-F18)/F18</f>
        <v>-0.12845971793403829</v>
      </c>
      <c r="H19" s="411">
        <f>(H18-G18)/G18</f>
        <v>1.6036100512806633</v>
      </c>
      <c r="I19" s="411">
        <f t="shared" ref="I19" si="16">(I18-H18)/H18</f>
        <v>0.16027549523457282</v>
      </c>
      <c r="J19" s="411">
        <f t="shared" ref="J19" si="17">(J18-I18)/I18</f>
        <v>-0.62154944318570626</v>
      </c>
      <c r="K19" s="411">
        <f t="shared" ref="K19" si="18">(K18-J18)/J18</f>
        <v>-0.49842037794979943</v>
      </c>
      <c r="L19" s="411">
        <f t="shared" ref="L19" si="19">(L18-K18)/K18</f>
        <v>0.85956218418684438</v>
      </c>
      <c r="M19" s="428">
        <f t="shared" ref="M19" si="20">(M18-L18)/L18</f>
        <v>-0.18075365716103514</v>
      </c>
      <c r="O19" s="617"/>
      <c r="P19" s="617"/>
    </row>
    <row r="20" spans="2:27" outlineLevel="2">
      <c r="B20" s="417"/>
      <c r="C20" s="420" t="s">
        <v>492</v>
      </c>
      <c r="D20" s="421"/>
      <c r="E20" s="421"/>
      <c r="F20" s="464">
        <v>306</v>
      </c>
      <c r="G20" s="464">
        <v>328</v>
      </c>
      <c r="H20" s="464">
        <v>811</v>
      </c>
      <c r="I20" s="464">
        <v>1329</v>
      </c>
      <c r="J20" s="464">
        <v>570</v>
      </c>
      <c r="K20" s="464">
        <v>326</v>
      </c>
      <c r="L20" s="464">
        <v>666</v>
      </c>
      <c r="M20" s="465">
        <v>578</v>
      </c>
      <c r="O20" s="617"/>
      <c r="P20" s="617"/>
    </row>
    <row r="21" spans="2:27" ht="28" outlineLevel="2" thickBot="1">
      <c r="B21" s="418"/>
      <c r="C21" s="424" t="s">
        <v>488</v>
      </c>
      <c r="D21" s="425"/>
      <c r="E21" s="425"/>
      <c r="F21" s="466">
        <f t="shared" ref="F21:M21" si="21">F16</f>
        <v>1234.48</v>
      </c>
      <c r="G21" s="466">
        <f t="shared" si="21"/>
        <v>1518.27</v>
      </c>
      <c r="H21" s="466">
        <f t="shared" si="21"/>
        <v>1441.85</v>
      </c>
      <c r="I21" s="466">
        <f t="shared" si="21"/>
        <v>2036.4</v>
      </c>
      <c r="J21" s="466">
        <f t="shared" si="21"/>
        <v>2307.83</v>
      </c>
      <c r="K21" s="466">
        <f t="shared" si="21"/>
        <v>2631.52</v>
      </c>
      <c r="L21" s="466">
        <f t="shared" si="21"/>
        <v>2891.03</v>
      </c>
      <c r="M21" s="467">
        <f t="shared" si="21"/>
        <v>3062.61</v>
      </c>
      <c r="O21" s="617"/>
      <c r="P21" s="617"/>
    </row>
    <row r="22" spans="2:27" outlineLevel="2">
      <c r="O22" s="617"/>
      <c r="P22" s="617"/>
    </row>
    <row r="23" spans="2:27" outlineLevel="2">
      <c r="O23" s="617"/>
      <c r="P23" s="617"/>
    </row>
    <row r="24" spans="2:27" ht="28" thickBot="1">
      <c r="B24" s="50" t="s">
        <v>462</v>
      </c>
      <c r="O24" s="617"/>
      <c r="P24" s="617"/>
      <c r="V24" s="452"/>
    </row>
    <row r="25" spans="2:27" ht="28" outlineLevel="1" thickBot="1">
      <c r="B25" s="435" t="s">
        <v>468</v>
      </c>
      <c r="C25" s="436"/>
      <c r="D25" s="436"/>
      <c r="E25" s="450"/>
      <c r="F25" s="437">
        <f t="shared" ref="F25:M25" si="22">F27/F30</f>
        <v>0.64918414918414924</v>
      </c>
      <c r="G25" s="437">
        <f t="shared" si="22"/>
        <v>0.63816793893129775</v>
      </c>
      <c r="H25" s="437">
        <f t="shared" si="22"/>
        <v>0.64617156016119748</v>
      </c>
      <c r="I25" s="437">
        <f t="shared" si="22"/>
        <v>0.62800669316042668</v>
      </c>
      <c r="J25" s="437">
        <f t="shared" si="22"/>
        <v>0.62090182753237211</v>
      </c>
      <c r="K25" s="437">
        <f t="shared" si="22"/>
        <v>0.59488291413703387</v>
      </c>
      <c r="L25" s="437">
        <f t="shared" si="22"/>
        <v>0.6159303450499839</v>
      </c>
      <c r="M25" s="438">
        <f t="shared" si="22"/>
        <v>0.61896043938549705</v>
      </c>
      <c r="O25" s="622">
        <f>AVERAGE(F25:M25)</f>
        <v>0.62652573344274476</v>
      </c>
      <c r="P25" s="622">
        <f>MEDIAN(F25:M25)</f>
        <v>0.62445426034639939</v>
      </c>
    </row>
    <row r="26" spans="2:27" ht="28" outlineLevel="1" thickBot="1">
      <c r="B26" s="144"/>
      <c r="C26" s="408" t="s">
        <v>528</v>
      </c>
      <c r="D26" s="409"/>
      <c r="E26" s="410"/>
      <c r="F26" s="411"/>
      <c r="G26" s="411">
        <f>(G25-F25)/F25</f>
        <v>-1.6969314895774822E-2</v>
      </c>
      <c r="H26" s="411">
        <f>(H25-G25)/G25</f>
        <v>1.2541559582737609E-2</v>
      </c>
      <c r="I26" s="411">
        <f t="shared" ref="I26:M26" si="23">(I25-H25)/H25</f>
        <v>-2.8111523503509338E-2</v>
      </c>
      <c r="J26" s="411">
        <f t="shared" si="23"/>
        <v>-1.1313359722807292E-2</v>
      </c>
      <c r="K26" s="411">
        <f t="shared" si="23"/>
        <v>-4.1905035935784367E-2</v>
      </c>
      <c r="L26" s="411">
        <f t="shared" si="23"/>
        <v>3.538079580497358E-2</v>
      </c>
      <c r="M26" s="412">
        <f t="shared" si="23"/>
        <v>4.9195405939404697E-3</v>
      </c>
      <c r="O26" s="617"/>
      <c r="P26" s="617"/>
    </row>
    <row r="27" spans="2:27" outlineLevel="2">
      <c r="B27" s="144"/>
      <c r="C27" s="394" t="s">
        <v>493</v>
      </c>
      <c r="D27" s="314"/>
      <c r="E27" s="401"/>
      <c r="F27" s="395">
        <f>+F28-F29</f>
        <v>5013</v>
      </c>
      <c r="G27" s="395">
        <f t="shared" ref="G27:M27" si="24">+G28-G29</f>
        <v>5434</v>
      </c>
      <c r="H27" s="395">
        <f t="shared" si="24"/>
        <v>5612</v>
      </c>
      <c r="I27" s="395">
        <f t="shared" si="24"/>
        <v>6005</v>
      </c>
      <c r="J27" s="395">
        <f t="shared" si="24"/>
        <v>6761</v>
      </c>
      <c r="K27" s="395">
        <f t="shared" si="24"/>
        <v>6859</v>
      </c>
      <c r="L27" s="395">
        <f t="shared" si="24"/>
        <v>7640</v>
      </c>
      <c r="M27" s="396">
        <f t="shared" si="24"/>
        <v>7776</v>
      </c>
      <c r="O27" s="618"/>
      <c r="P27" s="617"/>
    </row>
    <row r="28" spans="2:27" outlineLevel="3">
      <c r="B28" s="144"/>
      <c r="C28" s="144"/>
      <c r="D28" s="49" t="s">
        <v>517</v>
      </c>
      <c r="E28" s="120"/>
      <c r="F28" s="370">
        <v>7722</v>
      </c>
      <c r="G28" s="370">
        <v>8515</v>
      </c>
      <c r="H28" s="370">
        <v>8685</v>
      </c>
      <c r="I28" s="370">
        <v>9562</v>
      </c>
      <c r="J28" s="370">
        <v>10889</v>
      </c>
      <c r="K28" s="370">
        <v>11530</v>
      </c>
      <c r="L28" s="370">
        <v>12404</v>
      </c>
      <c r="M28" s="373">
        <v>12563</v>
      </c>
      <c r="O28" s="617"/>
      <c r="P28" s="617"/>
    </row>
    <row r="29" spans="2:27" outlineLevel="3">
      <c r="B29" s="144"/>
      <c r="C29" s="144"/>
      <c r="D29" s="49" t="s">
        <v>503</v>
      </c>
      <c r="E29" s="120"/>
      <c r="F29" s="392">
        <v>2709</v>
      </c>
      <c r="G29" s="392">
        <v>3081</v>
      </c>
      <c r="H29" s="392">
        <v>3073</v>
      </c>
      <c r="I29" s="392">
        <v>3557</v>
      </c>
      <c r="J29" s="392">
        <v>4128</v>
      </c>
      <c r="K29" s="392">
        <v>4671</v>
      </c>
      <c r="L29" s="392">
        <v>4764</v>
      </c>
      <c r="M29" s="393">
        <v>4787</v>
      </c>
      <c r="O29" s="619"/>
      <c r="P29" s="619"/>
      <c r="Q29" s="368"/>
      <c r="R29" s="368"/>
      <c r="S29" s="368"/>
      <c r="T29" s="368"/>
      <c r="U29" s="368"/>
      <c r="V29" s="368"/>
      <c r="W29" s="368"/>
      <c r="X29" s="1"/>
    </row>
    <row r="30" spans="2:27" ht="28" outlineLevel="2" thickBot="1">
      <c r="B30" s="146"/>
      <c r="C30" s="397" t="s">
        <v>494</v>
      </c>
      <c r="D30" s="398"/>
      <c r="E30" s="402"/>
      <c r="F30" s="399">
        <v>7722</v>
      </c>
      <c r="G30" s="399">
        <v>8515</v>
      </c>
      <c r="H30" s="399">
        <v>8685</v>
      </c>
      <c r="I30" s="399">
        <v>9562</v>
      </c>
      <c r="J30" s="399">
        <v>10889</v>
      </c>
      <c r="K30" s="399">
        <v>11530</v>
      </c>
      <c r="L30" s="399">
        <v>12404</v>
      </c>
      <c r="M30" s="400">
        <v>12563</v>
      </c>
      <c r="O30" s="619"/>
      <c r="P30" s="619"/>
      <c r="Q30" s="369"/>
      <c r="R30" s="369"/>
      <c r="S30" s="369"/>
      <c r="T30" s="369"/>
      <c r="U30" s="369"/>
      <c r="V30" s="369"/>
      <c r="W30" s="369"/>
      <c r="X30" s="368"/>
      <c r="Y30" s="1"/>
      <c r="Z30" s="1"/>
      <c r="AA30" s="1"/>
    </row>
    <row r="31" spans="2:27" ht="28" outlineLevel="2" thickBot="1">
      <c r="F31" s="371"/>
      <c r="G31" s="371"/>
      <c r="H31" s="371"/>
      <c r="I31" s="371"/>
      <c r="J31" s="371"/>
      <c r="K31" s="371"/>
      <c r="L31" s="371"/>
      <c r="M31" s="371"/>
      <c r="O31" s="619"/>
      <c r="P31" s="619"/>
      <c r="Q31" s="369"/>
      <c r="R31" s="369"/>
      <c r="S31" s="369"/>
      <c r="T31" s="369"/>
      <c r="U31" s="369"/>
      <c r="V31" s="369"/>
      <c r="W31" s="369"/>
      <c r="X31" s="368"/>
      <c r="Y31" s="1"/>
      <c r="Z31" s="1"/>
      <c r="AA31" s="1"/>
    </row>
    <row r="32" spans="2:27" ht="28" outlineLevel="1" thickBot="1">
      <c r="B32" s="403" t="s">
        <v>469</v>
      </c>
      <c r="C32" s="352"/>
      <c r="D32" s="352"/>
      <c r="E32" s="404"/>
      <c r="F32" s="404">
        <f>+F34/F35</f>
        <v>0.17586117586117586</v>
      </c>
      <c r="G32" s="404">
        <f t="shared" ref="G32:M32" si="25">+G34/G35</f>
        <v>0.16981796829125073</v>
      </c>
      <c r="H32" s="404">
        <f t="shared" si="25"/>
        <v>0.16672423719055843</v>
      </c>
      <c r="I32" s="404">
        <f t="shared" si="25"/>
        <v>0.17726417067559089</v>
      </c>
      <c r="J32" s="404">
        <f t="shared" si="25"/>
        <v>0.15997795940857745</v>
      </c>
      <c r="K32" s="404">
        <f t="shared" si="25"/>
        <v>0.14752818733738074</v>
      </c>
      <c r="L32" s="404">
        <f t="shared" si="25"/>
        <v>0.14600128990648178</v>
      </c>
      <c r="M32" s="405">
        <f t="shared" si="25"/>
        <v>0.13850195017113748</v>
      </c>
      <c r="O32" s="622">
        <f>AVERAGE(F32:M32)</f>
        <v>0.16020961735526917</v>
      </c>
      <c r="P32" s="622">
        <f>MEDIAN(F32:M32)</f>
        <v>0.16335109829956795</v>
      </c>
      <c r="Q32" s="368"/>
      <c r="R32" s="368"/>
      <c r="S32" s="368"/>
      <c r="T32" s="368"/>
      <c r="U32" s="368"/>
      <c r="V32" s="368"/>
      <c r="W32" s="368"/>
      <c r="X32" s="1"/>
      <c r="Y32" s="1"/>
      <c r="Z32" s="1"/>
      <c r="AA32" s="1"/>
    </row>
    <row r="33" spans="1:27" s="1" customFormat="1" ht="28" outlineLevel="1" thickBot="1">
      <c r="A33" s="49"/>
      <c r="B33" s="286"/>
      <c r="C33" s="408" t="s">
        <v>528</v>
      </c>
      <c r="D33" s="409"/>
      <c r="E33" s="410"/>
      <c r="F33" s="411"/>
      <c r="G33" s="411">
        <f>(G32-F32)/F32</f>
        <v>-3.4363511675229642E-2</v>
      </c>
      <c r="H33" s="411">
        <f>(H32-G32)/G32</f>
        <v>-1.821792553415973E-2</v>
      </c>
      <c r="I33" s="411">
        <f t="shared" ref="I33" si="26">(I32-H32)/H32</f>
        <v>6.3217764031427426E-2</v>
      </c>
      <c r="J33" s="411">
        <f t="shared" ref="J33" si="27">(J32-I32)/I32</f>
        <v>-9.7516667926361336E-2</v>
      </c>
      <c r="K33" s="411">
        <f t="shared" ref="K33" si="28">(K32-J32)/J32</f>
        <v>-7.7821795684994838E-2</v>
      </c>
      <c r="L33" s="411">
        <f t="shared" ref="L33" si="29">(L32-K32)/K32</f>
        <v>-1.0349869123024661E-2</v>
      </c>
      <c r="M33" s="412">
        <f t="shared" ref="M33" si="30">(M32-L32)/L32</f>
        <v>-5.1364886845505678E-2</v>
      </c>
      <c r="N33" s="49"/>
      <c r="O33" s="618"/>
      <c r="P33" s="619"/>
      <c r="Q33" s="368"/>
      <c r="R33" s="368"/>
      <c r="S33" s="368"/>
      <c r="T33" s="368"/>
      <c r="U33" s="368"/>
      <c r="V33" s="368"/>
      <c r="W33" s="368"/>
    </row>
    <row r="34" spans="1:27" outlineLevel="2">
      <c r="B34" s="144"/>
      <c r="C34" s="394" t="s">
        <v>495</v>
      </c>
      <c r="D34" s="314"/>
      <c r="E34" s="401"/>
      <c r="F34" s="468">
        <v>1358</v>
      </c>
      <c r="G34" s="468">
        <v>1446</v>
      </c>
      <c r="H34" s="468">
        <v>1448</v>
      </c>
      <c r="I34" s="468">
        <v>1695</v>
      </c>
      <c r="J34" s="468">
        <v>1742</v>
      </c>
      <c r="K34" s="468">
        <v>1701</v>
      </c>
      <c r="L34" s="468">
        <v>1811</v>
      </c>
      <c r="M34" s="469">
        <v>1740</v>
      </c>
      <c r="O34" s="617"/>
      <c r="P34" s="618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 ht="28" outlineLevel="2" thickBot="1">
      <c r="B35" s="146"/>
      <c r="C35" s="397" t="s">
        <v>494</v>
      </c>
      <c r="D35" s="398"/>
      <c r="E35" s="402"/>
      <c r="F35" s="399">
        <v>7722</v>
      </c>
      <c r="G35" s="399">
        <v>8515</v>
      </c>
      <c r="H35" s="399">
        <v>8685</v>
      </c>
      <c r="I35" s="399">
        <v>9562</v>
      </c>
      <c r="J35" s="399">
        <v>10889</v>
      </c>
      <c r="K35" s="399">
        <v>11530</v>
      </c>
      <c r="L35" s="399">
        <v>12404</v>
      </c>
      <c r="M35" s="400">
        <v>12563</v>
      </c>
      <c r="O35" s="617"/>
      <c r="P35" s="618"/>
      <c r="Q35" s="372"/>
      <c r="R35" s="372"/>
      <c r="S35" s="372"/>
      <c r="T35" s="372"/>
      <c r="U35" s="372"/>
      <c r="V35" s="372"/>
      <c r="W35" s="372"/>
      <c r="X35" s="1"/>
      <c r="Y35" s="1"/>
      <c r="Z35" s="1"/>
      <c r="AA35" s="1"/>
    </row>
    <row r="36" spans="1:27" ht="28" outlineLevel="2" thickBot="1">
      <c r="F36" s="370"/>
      <c r="G36" s="370"/>
      <c r="H36" s="370"/>
      <c r="I36" s="370"/>
      <c r="J36" s="370"/>
      <c r="K36" s="370"/>
      <c r="L36" s="370"/>
      <c r="M36" s="370"/>
      <c r="O36" s="617"/>
      <c r="P36" s="618"/>
      <c r="Q36" s="372"/>
      <c r="R36" s="372"/>
      <c r="S36" s="372"/>
      <c r="T36" s="372"/>
      <c r="U36" s="372"/>
      <c r="V36" s="372"/>
      <c r="W36" s="372"/>
      <c r="X36" s="1"/>
      <c r="Y36" s="1"/>
      <c r="Z36" s="1"/>
      <c r="AA36" s="1"/>
    </row>
    <row r="37" spans="1:27" ht="28" outlineLevel="1" thickBot="1">
      <c r="B37" s="403" t="s">
        <v>470</v>
      </c>
      <c r="C37" s="352"/>
      <c r="D37" s="352"/>
      <c r="E37" s="406"/>
      <c r="F37" s="406">
        <f>F39/F40</f>
        <v>0.20940170940170941</v>
      </c>
      <c r="G37" s="406">
        <f t="shared" ref="G37:M37" si="31">G39/G40</f>
        <v>0.20434527304756311</v>
      </c>
      <c r="H37" s="406">
        <f t="shared" si="31"/>
        <v>0.20633275762809442</v>
      </c>
      <c r="I37" s="406">
        <f t="shared" si="31"/>
        <v>0.20937042459736457</v>
      </c>
      <c r="J37" s="406">
        <f t="shared" si="31"/>
        <v>0.20681421618146753</v>
      </c>
      <c r="K37" s="406">
        <f t="shared" si="31"/>
        <v>0.18751084128360798</v>
      </c>
      <c r="L37" s="406">
        <f t="shared" si="31"/>
        <v>0.19348597226701064</v>
      </c>
      <c r="M37" s="407">
        <f t="shared" si="31"/>
        <v>0.1843508716071002</v>
      </c>
      <c r="O37" s="622">
        <f>AVERAGE(F37:M37)</f>
        <v>0.20020150825173974</v>
      </c>
      <c r="P37" s="622">
        <f>MEDIAN(F37:M37)</f>
        <v>0.20533901533782878</v>
      </c>
    </row>
    <row r="38" spans="1:27" s="1" customFormat="1" ht="28" outlineLevel="1" thickBot="1">
      <c r="B38" s="286"/>
      <c r="C38" s="408" t="s">
        <v>528</v>
      </c>
      <c r="D38" s="409"/>
      <c r="E38" s="410"/>
      <c r="F38" s="411"/>
      <c r="G38" s="411">
        <f>(G37-F37)/F37</f>
        <v>-2.4147063405514951E-2</v>
      </c>
      <c r="H38" s="411">
        <f>(H37-G37)/G37</f>
        <v>9.726109886910363E-3</v>
      </c>
      <c r="I38" s="411">
        <f t="shared" ref="I38" si="32">(I37-H37)/H37</f>
        <v>1.4722175015687124E-2</v>
      </c>
      <c r="J38" s="411">
        <f t="shared" ref="J38" si="33">(J37-I37)/I37</f>
        <v>-1.2209023412990773E-2</v>
      </c>
      <c r="K38" s="411">
        <f t="shared" ref="K38" si="34">(K37-J37)/J37</f>
        <v>-9.333678919306955E-2</v>
      </c>
      <c r="L38" s="411">
        <f t="shared" ref="L38" si="35">(L37-K37)/K37</f>
        <v>3.1865522774575702E-2</v>
      </c>
      <c r="M38" s="412">
        <f t="shared" ref="M38" si="36">(M37-L37)/L37</f>
        <v>-4.7213245243970449E-2</v>
      </c>
      <c r="O38" s="618"/>
      <c r="P38" s="618"/>
    </row>
    <row r="39" spans="1:27" outlineLevel="2">
      <c r="B39" s="144"/>
      <c r="C39" s="394" t="s">
        <v>250</v>
      </c>
      <c r="D39" s="314"/>
      <c r="E39" s="401"/>
      <c r="F39" s="470">
        <v>1617</v>
      </c>
      <c r="G39" s="470">
        <v>1740</v>
      </c>
      <c r="H39" s="470">
        <v>1792</v>
      </c>
      <c r="I39" s="470">
        <v>2002</v>
      </c>
      <c r="J39" s="470">
        <v>2252</v>
      </c>
      <c r="K39" s="470">
        <v>2162</v>
      </c>
      <c r="L39" s="470">
        <v>2400</v>
      </c>
      <c r="M39" s="471">
        <v>2316</v>
      </c>
      <c r="O39" s="617"/>
      <c r="P39" s="617"/>
    </row>
    <row r="40" spans="1:27" ht="28" outlineLevel="2" thickBot="1">
      <c r="B40" s="146"/>
      <c r="C40" s="397" t="s">
        <v>494</v>
      </c>
      <c r="D40" s="398"/>
      <c r="E40" s="402"/>
      <c r="F40" s="399">
        <v>7722</v>
      </c>
      <c r="G40" s="399">
        <v>8515</v>
      </c>
      <c r="H40" s="399">
        <v>8685</v>
      </c>
      <c r="I40" s="399">
        <v>9562</v>
      </c>
      <c r="J40" s="399">
        <v>10889</v>
      </c>
      <c r="K40" s="399">
        <v>11530</v>
      </c>
      <c r="L40" s="399">
        <v>12404</v>
      </c>
      <c r="M40" s="400">
        <v>12563</v>
      </c>
      <c r="O40" s="617"/>
      <c r="P40" s="617"/>
    </row>
    <row r="41" spans="1:27" ht="28" outlineLevel="2" thickBot="1">
      <c r="F41" s="370"/>
      <c r="G41" s="370"/>
      <c r="H41" s="370"/>
      <c r="I41" s="370"/>
      <c r="J41" s="370"/>
      <c r="K41" s="370"/>
      <c r="L41" s="370"/>
      <c r="M41" s="370"/>
      <c r="O41" s="617"/>
      <c r="P41" s="617"/>
    </row>
    <row r="42" spans="1:27" ht="28" outlineLevel="1" thickBot="1">
      <c r="B42" s="403" t="s">
        <v>471</v>
      </c>
      <c r="C42" s="352"/>
      <c r="D42" s="352"/>
      <c r="E42" s="352"/>
      <c r="F42" s="406">
        <f>F44/F45</f>
        <v>0.23970345963756179</v>
      </c>
      <c r="G42" s="406">
        <f t="shared" ref="G42:M42" si="37">G44/G45</f>
        <v>0.27624602332979853</v>
      </c>
      <c r="H42" s="406">
        <f t="shared" si="37"/>
        <v>0.23223518983601713</v>
      </c>
      <c r="I42" s="406">
        <f t="shared" si="37"/>
        <v>0.22987606001304631</v>
      </c>
      <c r="J42" s="406">
        <f t="shared" si="37"/>
        <v>0.23158016682113067</v>
      </c>
      <c r="K42" s="406">
        <f t="shared" si="37"/>
        <v>0.19963330457290768</v>
      </c>
      <c r="L42" s="406">
        <f t="shared" si="37"/>
        <v>0.19236685252835994</v>
      </c>
      <c r="M42" s="407">
        <f t="shared" si="37"/>
        <v>0.16840778097982709</v>
      </c>
      <c r="O42" s="622">
        <f>AVERAGE(F42:M42)</f>
        <v>0.22125610471483112</v>
      </c>
      <c r="P42" s="622">
        <f>MEDIAN(F42:M42)</f>
        <v>0.23072811341708849</v>
      </c>
    </row>
    <row r="43" spans="1:27" s="1" customFormat="1" ht="28" outlineLevel="1" thickBot="1">
      <c r="B43" s="286"/>
      <c r="C43" s="408" t="s">
        <v>528</v>
      </c>
      <c r="D43" s="409"/>
      <c r="E43" s="410"/>
      <c r="F43" s="411"/>
      <c r="G43" s="411">
        <f>(G42-F42)/F42</f>
        <v>0.15244904578135876</v>
      </c>
      <c r="H43" s="411">
        <f>(H42-G42)/G42</f>
        <v>-0.15931752777211464</v>
      </c>
      <c r="I43" s="411">
        <f t="shared" ref="I43" si="38">(I42-H42)/H42</f>
        <v>-1.0158364994713402E-2</v>
      </c>
      <c r="J43" s="411">
        <f t="shared" ref="J43" si="39">(J42-I42)/I42</f>
        <v>7.4131547582103417E-3</v>
      </c>
      <c r="K43" s="411">
        <f t="shared" ref="K43" si="40">(K42-J42)/J42</f>
        <v>-0.13795163327997043</v>
      </c>
      <c r="L43" s="411">
        <f t="shared" ref="L43" si="41">(L42-K42)/K42</f>
        <v>-3.63989969514028E-2</v>
      </c>
      <c r="M43" s="412">
        <f t="shared" ref="M43" si="42">(M42-L42)/L42</f>
        <v>-0.12454885669557159</v>
      </c>
      <c r="O43" s="618"/>
      <c r="P43" s="618"/>
    </row>
    <row r="44" spans="1:27" outlineLevel="2">
      <c r="B44" s="144"/>
      <c r="C44" s="394" t="s">
        <v>496</v>
      </c>
      <c r="D44" s="314"/>
      <c r="E44" s="401"/>
      <c r="F44" s="472">
        <f t="shared" ref="F44:M44" si="43">R138</f>
        <v>1455</v>
      </c>
      <c r="G44" s="472">
        <f t="shared" si="43"/>
        <v>1563</v>
      </c>
      <c r="H44" s="472">
        <f t="shared" si="43"/>
        <v>1572</v>
      </c>
      <c r="I44" s="472">
        <f t="shared" si="43"/>
        <v>1762</v>
      </c>
      <c r="J44" s="472">
        <f t="shared" si="43"/>
        <v>1999</v>
      </c>
      <c r="K44" s="472">
        <f t="shared" si="43"/>
        <v>1851</v>
      </c>
      <c r="L44" s="472">
        <f t="shared" si="43"/>
        <v>2001</v>
      </c>
      <c r="M44" s="473">
        <f t="shared" si="43"/>
        <v>1870</v>
      </c>
      <c r="O44" s="617"/>
      <c r="P44" s="617"/>
    </row>
    <row r="45" spans="1:27" ht="28" outlineLevel="2" thickBot="1">
      <c r="B45" s="146"/>
      <c r="C45" s="397" t="s">
        <v>497</v>
      </c>
      <c r="D45" s="398"/>
      <c r="E45" s="402"/>
      <c r="F45" s="414">
        <f t="shared" ref="F45:M45" si="44">F138</f>
        <v>6070</v>
      </c>
      <c r="G45" s="414">
        <f t="shared" si="44"/>
        <v>5658</v>
      </c>
      <c r="H45" s="414">
        <f t="shared" si="44"/>
        <v>6769</v>
      </c>
      <c r="I45" s="414">
        <f t="shared" si="44"/>
        <v>7665</v>
      </c>
      <c r="J45" s="414">
        <f t="shared" si="44"/>
        <v>8632</v>
      </c>
      <c r="K45" s="414">
        <f t="shared" si="44"/>
        <v>9272</v>
      </c>
      <c r="L45" s="414">
        <f t="shared" si="44"/>
        <v>10402</v>
      </c>
      <c r="M45" s="415">
        <f t="shared" si="44"/>
        <v>11104</v>
      </c>
      <c r="O45" s="617"/>
      <c r="P45" s="617"/>
    </row>
    <row r="46" spans="1:27" ht="28" outlineLevel="2" thickBot="1">
      <c r="O46" s="617"/>
      <c r="P46" s="617"/>
    </row>
    <row r="47" spans="1:27" ht="28" outlineLevel="1" thickBot="1">
      <c r="B47" s="403" t="s">
        <v>473</v>
      </c>
      <c r="C47" s="352"/>
      <c r="D47" s="352"/>
      <c r="E47" s="352"/>
      <c r="F47" s="404">
        <f>F49/F50</f>
        <v>0.17707192405987587</v>
      </c>
      <c r="G47" s="404">
        <f t="shared" ref="G47:M47" si="45">G49/G50</f>
        <v>0.18239103798354631</v>
      </c>
      <c r="H47" s="404">
        <f t="shared" si="45"/>
        <v>0.17688758861258017</v>
      </c>
      <c r="I47" s="404">
        <f t="shared" si="45"/>
        <v>0.17471492315319781</v>
      </c>
      <c r="J47" s="404">
        <f t="shared" si="45"/>
        <v>0.17294631656356793</v>
      </c>
      <c r="K47" s="404">
        <f t="shared" si="45"/>
        <v>0.14273596545342382</v>
      </c>
      <c r="L47" s="404">
        <f t="shared" si="45"/>
        <v>0.13911290322580644</v>
      </c>
      <c r="M47" s="405">
        <f t="shared" si="45"/>
        <v>0.11931346902316085</v>
      </c>
      <c r="O47" s="622">
        <f>AVERAGE(F47:M47)</f>
        <v>0.1606467660093949</v>
      </c>
      <c r="P47" s="622">
        <f>MEDIAN(F47:M47)</f>
        <v>0.17383061985838288</v>
      </c>
    </row>
    <row r="48" spans="1:27" s="1" customFormat="1" ht="28" outlineLevel="1" thickBot="1">
      <c r="B48" s="286"/>
      <c r="C48" s="408" t="s">
        <v>528</v>
      </c>
      <c r="D48" s="409"/>
      <c r="E48" s="410"/>
      <c r="F48" s="411"/>
      <c r="G48" s="411">
        <f>(G47-F47)/F47</f>
        <v>3.0039284612233635E-2</v>
      </c>
      <c r="H48" s="411">
        <f>(H47-G47)/G47</f>
        <v>-3.0173902357322032E-2</v>
      </c>
      <c r="I48" s="411">
        <f t="shared" ref="I48" si="46">(I47-H47)/H47</f>
        <v>-1.2282746779599871E-2</v>
      </c>
      <c r="J48" s="411">
        <f t="shared" ref="J48" si="47">(J47-I47)/I47</f>
        <v>-1.0122813539396893E-2</v>
      </c>
      <c r="K48" s="411">
        <f t="shared" ref="K48" si="48">(K47-J47)/J47</f>
        <v>-0.17468051190925499</v>
      </c>
      <c r="L48" s="411">
        <f t="shared" ref="L48" si="49">(L47-K47)/K47</f>
        <v>-2.5382966487164871E-2</v>
      </c>
      <c r="M48" s="412">
        <f t="shared" ref="M48" si="50">(M47-L47)/L47</f>
        <v>-0.14232636760162626</v>
      </c>
      <c r="O48" s="618"/>
      <c r="P48" s="618"/>
    </row>
    <row r="49" spans="2:16" outlineLevel="2">
      <c r="B49" s="144"/>
      <c r="C49" s="394" t="s">
        <v>498</v>
      </c>
      <c r="D49" s="314"/>
      <c r="E49" s="401"/>
      <c r="F49" s="472">
        <f t="shared" ref="F49:M49" si="51">R138</f>
        <v>1455</v>
      </c>
      <c r="G49" s="472">
        <f t="shared" si="51"/>
        <v>1563</v>
      </c>
      <c r="H49" s="472">
        <f t="shared" si="51"/>
        <v>1572</v>
      </c>
      <c r="I49" s="472">
        <f t="shared" si="51"/>
        <v>1762</v>
      </c>
      <c r="J49" s="472">
        <f t="shared" si="51"/>
        <v>1999</v>
      </c>
      <c r="K49" s="472">
        <f t="shared" si="51"/>
        <v>1851</v>
      </c>
      <c r="L49" s="472">
        <f t="shared" si="51"/>
        <v>2001</v>
      </c>
      <c r="M49" s="473">
        <f t="shared" si="51"/>
        <v>1870</v>
      </c>
      <c r="O49" s="617"/>
      <c r="P49" s="617"/>
    </row>
    <row r="50" spans="2:16" ht="28" outlineLevel="2" thickBot="1">
      <c r="B50" s="146"/>
      <c r="C50" s="397" t="s">
        <v>525</v>
      </c>
      <c r="D50" s="398"/>
      <c r="E50" s="402"/>
      <c r="F50" s="414">
        <f t="shared" ref="F50:M50" si="52">F146</f>
        <v>8217</v>
      </c>
      <c r="G50" s="414">
        <f t="shared" si="52"/>
        <v>8569.5</v>
      </c>
      <c r="H50" s="414">
        <f t="shared" si="52"/>
        <v>8887</v>
      </c>
      <c r="I50" s="414">
        <f t="shared" si="52"/>
        <v>10085</v>
      </c>
      <c r="J50" s="414">
        <f t="shared" si="52"/>
        <v>11558.5</v>
      </c>
      <c r="K50" s="414">
        <f t="shared" si="52"/>
        <v>12968</v>
      </c>
      <c r="L50" s="414">
        <f t="shared" si="52"/>
        <v>14384</v>
      </c>
      <c r="M50" s="415">
        <f t="shared" si="52"/>
        <v>15673</v>
      </c>
      <c r="O50" s="617"/>
      <c r="P50" s="617"/>
    </row>
    <row r="51" spans="2:16" ht="28" outlineLevel="2" thickBot="1">
      <c r="O51" s="617"/>
      <c r="P51" s="617"/>
    </row>
    <row r="52" spans="2:16" ht="28" outlineLevel="1" thickBot="1">
      <c r="B52" s="403" t="s">
        <v>472</v>
      </c>
      <c r="C52" s="352"/>
      <c r="D52" s="352"/>
      <c r="E52" s="352"/>
      <c r="F52" s="406">
        <f>F54/F55</f>
        <v>0.19656501927795303</v>
      </c>
      <c r="G52" s="406">
        <f t="shared" ref="G52:M52" si="53">G54/G55</f>
        <v>0.22416903409090908</v>
      </c>
      <c r="H52" s="406">
        <f t="shared" si="53"/>
        <v>0.19353315168029064</v>
      </c>
      <c r="I52" s="406">
        <f t="shared" si="53"/>
        <v>0.1852061586638831</v>
      </c>
      <c r="J52" s="406">
        <f t="shared" si="53"/>
        <v>0.18005249343832022</v>
      </c>
      <c r="K52" s="406">
        <f t="shared" si="53"/>
        <v>0.15214643931795385</v>
      </c>
      <c r="L52" s="406">
        <f t="shared" si="53"/>
        <v>0.14649199270220961</v>
      </c>
      <c r="M52" s="407">
        <f t="shared" si="53"/>
        <v>0.12163148148148147</v>
      </c>
      <c r="O52" s="622">
        <f>AVERAGE(F52:M52)</f>
        <v>0.17497447133162514</v>
      </c>
      <c r="P52" s="622">
        <f>MEDIAN(F52:M52)</f>
        <v>0.18262932605110166</v>
      </c>
    </row>
    <row r="53" spans="2:16" s="1" customFormat="1" ht="28" outlineLevel="1" thickBot="1">
      <c r="B53" s="286"/>
      <c r="C53" s="408" t="s">
        <v>528</v>
      </c>
      <c r="D53" s="409"/>
      <c r="E53" s="410"/>
      <c r="F53" s="411"/>
      <c r="G53" s="411">
        <f>(G52-F52)/F52</f>
        <v>0.14043197978131883</v>
      </c>
      <c r="H53" s="411">
        <f>(H52-G52)/G52</f>
        <v>-0.13666420313072508</v>
      </c>
      <c r="I53" s="411">
        <f t="shared" ref="I53" si="54">(I52-H52)/H52</f>
        <v>-4.3026184114251499E-2</v>
      </c>
      <c r="J53" s="411">
        <f t="shared" ref="J53" si="55">(J52-I52)/I52</f>
        <v>-2.7826640662181649E-2</v>
      </c>
      <c r="K53" s="411">
        <f t="shared" ref="K53" si="56">(K52-J52)/J52</f>
        <v>-0.15498843469183071</v>
      </c>
      <c r="L53" s="411">
        <f t="shared" ref="L53" si="57">(L52-K52)/K52</f>
        <v>-3.7164501785859373E-2</v>
      </c>
      <c r="M53" s="412">
        <f t="shared" ref="M53" si="58">(M52-L52)/L52</f>
        <v>-0.16970559797943935</v>
      </c>
      <c r="O53" s="618"/>
      <c r="P53" s="618"/>
    </row>
    <row r="54" spans="2:16" outlineLevel="1">
      <c r="B54" s="144"/>
      <c r="C54" s="394" t="s">
        <v>498</v>
      </c>
      <c r="D54" s="314"/>
      <c r="E54" s="401"/>
      <c r="F54" s="472">
        <f t="shared" ref="F54:M54" si="59">R142</f>
        <v>1121.5999999999999</v>
      </c>
      <c r="G54" s="472">
        <f t="shared" si="59"/>
        <v>1262.52</v>
      </c>
      <c r="H54" s="472">
        <f t="shared" si="59"/>
        <v>1278.48</v>
      </c>
      <c r="I54" s="472">
        <f t="shared" si="59"/>
        <v>1419.42</v>
      </c>
      <c r="J54" s="472">
        <f t="shared" si="59"/>
        <v>1509.2</v>
      </c>
      <c r="K54" s="472">
        <f t="shared" si="59"/>
        <v>1365.21</v>
      </c>
      <c r="L54" s="472">
        <f t="shared" si="59"/>
        <v>1445.29</v>
      </c>
      <c r="M54" s="473">
        <f t="shared" si="59"/>
        <v>1313.62</v>
      </c>
      <c r="O54" s="617"/>
      <c r="P54" s="617"/>
    </row>
    <row r="55" spans="2:16" ht="28" outlineLevel="1" thickBot="1">
      <c r="B55" s="146"/>
      <c r="C55" s="397" t="s">
        <v>499</v>
      </c>
      <c r="D55" s="398"/>
      <c r="E55" s="402"/>
      <c r="F55" s="414">
        <f>SUM(F135:F136)</f>
        <v>5706</v>
      </c>
      <c r="G55" s="414">
        <f>SUM(G135:G136)</f>
        <v>5632</v>
      </c>
      <c r="H55" s="414">
        <f t="shared" ref="H55:M55" si="60">SUM(H135:H136)</f>
        <v>6606</v>
      </c>
      <c r="I55" s="414">
        <f t="shared" si="60"/>
        <v>7664</v>
      </c>
      <c r="J55" s="414">
        <f t="shared" si="60"/>
        <v>8382</v>
      </c>
      <c r="K55" s="414">
        <f t="shared" si="60"/>
        <v>8973</v>
      </c>
      <c r="L55" s="414">
        <f t="shared" si="60"/>
        <v>9866</v>
      </c>
      <c r="M55" s="415">
        <f t="shared" si="60"/>
        <v>10800</v>
      </c>
      <c r="O55" s="617"/>
      <c r="P55" s="617"/>
    </row>
    <row r="56" spans="2:16" outlineLevel="1">
      <c r="O56" s="617"/>
      <c r="P56" s="617"/>
    </row>
    <row r="57" spans="2:16" ht="28" thickBot="1">
      <c r="B57" s="50" t="s">
        <v>463</v>
      </c>
      <c r="O57" s="617"/>
      <c r="P57" s="617"/>
    </row>
    <row r="58" spans="2:16" ht="28" outlineLevel="1" thickBot="1">
      <c r="B58" s="435" t="s">
        <v>474</v>
      </c>
      <c r="C58" s="436"/>
      <c r="D58" s="436"/>
      <c r="E58" s="436"/>
      <c r="F58" s="437">
        <f>F60/F63</f>
        <v>8.4923076923076921E-2</v>
      </c>
      <c r="G58" s="437">
        <f t="shared" ref="G58:M58" si="61">G60/G63</f>
        <v>4.8876037683051952E-2</v>
      </c>
      <c r="H58" s="437">
        <f t="shared" si="61"/>
        <v>4.4659080042077075E-2</v>
      </c>
      <c r="I58" s="437">
        <f t="shared" si="61"/>
        <v>3.0815284381053003E-2</v>
      </c>
      <c r="J58" s="437">
        <f t="shared" si="61"/>
        <v>6.7444574095682608E-2</v>
      </c>
      <c r="K58" s="437">
        <f t="shared" si="61"/>
        <v>6.9825959320612294E-2</v>
      </c>
      <c r="L58" s="437">
        <f t="shared" si="61"/>
        <v>7.3870885429956623E-2</v>
      </c>
      <c r="M58" s="438">
        <f t="shared" si="61"/>
        <v>4.2587947027594657E-2</v>
      </c>
      <c r="O58" s="622">
        <f>AVERAGE(F58:M58)</f>
        <v>5.7875355612888146E-2</v>
      </c>
      <c r="P58" s="622">
        <f>MEDIAN(F58:M58)</f>
        <v>5.8160305889367284E-2</v>
      </c>
    </row>
    <row r="59" spans="2:16" ht="28" outlineLevel="1" thickBot="1">
      <c r="B59" s="417"/>
      <c r="C59" s="408" t="s">
        <v>528</v>
      </c>
      <c r="D59" s="409"/>
      <c r="E59" s="410"/>
      <c r="F59" s="411"/>
      <c r="G59" s="411">
        <f>(G58-F58)/F58</f>
        <v>-0.42446694757275777</v>
      </c>
      <c r="H59" s="411">
        <f>(H58-G58)/G58</f>
        <v>-8.6278631429182573E-2</v>
      </c>
      <c r="I59" s="411">
        <f t="shared" ref="I59" si="62">(I58-H58)/H58</f>
        <v>-0.30998837521911932</v>
      </c>
      <c r="J59" s="411">
        <f t="shared" ref="J59" si="63">(J58-I58)/I58</f>
        <v>1.1886727787964657</v>
      </c>
      <c r="K59" s="411">
        <f t="shared" ref="K59" si="64">(K58-J58)/J58</f>
        <v>3.5308774009770602E-2</v>
      </c>
      <c r="L59" s="411">
        <f t="shared" ref="L59" si="65">(L58-K58)/K58</f>
        <v>5.7928686532922241E-2</v>
      </c>
      <c r="M59" s="412">
        <f t="shared" ref="M59" si="66">(M58-L58)/L58</f>
        <v>-0.42348129740537666</v>
      </c>
      <c r="O59" s="617"/>
      <c r="P59" s="617"/>
    </row>
    <row r="60" spans="2:16" outlineLevel="2">
      <c r="B60" s="417"/>
      <c r="C60" s="420" t="s">
        <v>273</v>
      </c>
      <c r="D60" s="421"/>
      <c r="E60" s="421"/>
      <c r="F60" s="422">
        <f>SUM(F61:F62)</f>
        <v>828</v>
      </c>
      <c r="G60" s="422">
        <f t="shared" ref="G60:M60" si="67">SUM(G61:G62)</f>
        <v>524</v>
      </c>
      <c r="H60" s="422">
        <f t="shared" si="67"/>
        <v>467</v>
      </c>
      <c r="I60" s="422">
        <f t="shared" si="67"/>
        <v>350</v>
      </c>
      <c r="J60" s="422">
        <f t="shared" si="67"/>
        <v>867</v>
      </c>
      <c r="K60" s="422">
        <f t="shared" si="67"/>
        <v>999</v>
      </c>
      <c r="L60" s="422">
        <f t="shared" si="67"/>
        <v>1158</v>
      </c>
      <c r="M60" s="423">
        <f t="shared" si="67"/>
        <v>730</v>
      </c>
      <c r="O60" s="617"/>
      <c r="P60" s="617"/>
    </row>
    <row r="61" spans="2:16" outlineLevel="3">
      <c r="B61" s="417"/>
      <c r="C61" s="417"/>
      <c r="D61" s="49" t="s">
        <v>412</v>
      </c>
      <c r="F61" s="370">
        <v>364</v>
      </c>
      <c r="G61" s="370">
        <v>26</v>
      </c>
      <c r="H61" s="370">
        <v>163</v>
      </c>
      <c r="I61" s="370">
        <v>1</v>
      </c>
      <c r="J61" s="370">
        <v>250</v>
      </c>
      <c r="K61" s="370">
        <v>299</v>
      </c>
      <c r="L61" s="370">
        <v>536</v>
      </c>
      <c r="M61" s="416">
        <v>304</v>
      </c>
      <c r="O61" s="617"/>
      <c r="P61" s="617"/>
    </row>
    <row r="62" spans="2:16" outlineLevel="3">
      <c r="B62" s="417"/>
      <c r="C62" s="417"/>
      <c r="D62" s="49" t="s">
        <v>529</v>
      </c>
      <c r="F62" s="370">
        <v>464</v>
      </c>
      <c r="G62" s="370">
        <v>498</v>
      </c>
      <c r="H62" s="370">
        <v>304</v>
      </c>
      <c r="I62" s="370">
        <v>349</v>
      </c>
      <c r="J62" s="370">
        <v>617</v>
      </c>
      <c r="K62" s="370">
        <v>700</v>
      </c>
      <c r="L62" s="370">
        <v>622</v>
      </c>
      <c r="M62" s="416">
        <v>426</v>
      </c>
      <c r="O62" s="617"/>
      <c r="P62" s="617"/>
    </row>
    <row r="63" spans="2:16" ht="28" outlineLevel="2" thickBot="1">
      <c r="B63" s="418"/>
      <c r="C63" s="424" t="s">
        <v>499</v>
      </c>
      <c r="D63" s="425"/>
      <c r="E63" s="425"/>
      <c r="F63" s="426">
        <f>SUM(F142:F143)</f>
        <v>9750</v>
      </c>
      <c r="G63" s="426">
        <f>SUM(G142:G143)</f>
        <v>10721</v>
      </c>
      <c r="H63" s="426">
        <f t="shared" ref="H63:M63" si="68">SUM(H142:H143)</f>
        <v>10457</v>
      </c>
      <c r="I63" s="426">
        <f t="shared" si="68"/>
        <v>11358</v>
      </c>
      <c r="J63" s="426">
        <f t="shared" si="68"/>
        <v>12855</v>
      </c>
      <c r="K63" s="426">
        <f t="shared" si="68"/>
        <v>14307</v>
      </c>
      <c r="L63" s="426">
        <f t="shared" si="68"/>
        <v>15676</v>
      </c>
      <c r="M63" s="427">
        <f t="shared" si="68"/>
        <v>17141</v>
      </c>
      <c r="O63" s="617"/>
      <c r="P63" s="617"/>
    </row>
    <row r="64" spans="2:16" ht="28" outlineLevel="1" thickBot="1">
      <c r="B64" s="435" t="s">
        <v>475</v>
      </c>
      <c r="C64" s="436"/>
      <c r="D64" s="436"/>
      <c r="E64" s="436"/>
      <c r="F64" s="437">
        <f>F66/F67</f>
        <v>9.5150540105722825E-2</v>
      </c>
      <c r="G64" s="437">
        <f t="shared" ref="G64:M64" si="69">G66/G67</f>
        <v>6.2107384141282446E-2</v>
      </c>
      <c r="H64" s="437">
        <f t="shared" si="69"/>
        <v>5.0016065117275355E-2</v>
      </c>
      <c r="I64" s="437">
        <f t="shared" si="69"/>
        <v>3.2308686421120648E-2</v>
      </c>
      <c r="J64" s="437">
        <f t="shared" si="69"/>
        <v>7.0579615760338651E-2</v>
      </c>
      <c r="K64" s="437">
        <f t="shared" si="69"/>
        <v>7.3176091415177266E-2</v>
      </c>
      <c r="L64" s="437">
        <f t="shared" si="69"/>
        <v>7.6607568139719501E-2</v>
      </c>
      <c r="M64" s="438">
        <f t="shared" si="69"/>
        <v>4.4978434996919288E-2</v>
      </c>
      <c r="O64" s="622">
        <f>AVERAGE(F64:M64)</f>
        <v>6.311554826219451E-2</v>
      </c>
      <c r="P64" s="622">
        <f>MEDIAN(F64:M64)</f>
        <v>6.6343499950810542E-2</v>
      </c>
    </row>
    <row r="65" spans="2:16" ht="28" outlineLevel="1" thickBot="1">
      <c r="B65" s="417"/>
      <c r="C65" s="408" t="s">
        <v>528</v>
      </c>
      <c r="D65" s="409"/>
      <c r="E65" s="410"/>
      <c r="F65" s="411"/>
      <c r="G65" s="411">
        <f>(G64-F64)/F64</f>
        <v>-0.34727239517217412</v>
      </c>
      <c r="H65" s="411">
        <f>(H64-G64)/G64</f>
        <v>-0.1946840813082974</v>
      </c>
      <c r="I65" s="411">
        <f t="shared" ref="I65" si="70">(I64-H64)/H64</f>
        <v>-0.35403382202568845</v>
      </c>
      <c r="J65" s="411">
        <f t="shared" ref="J65" si="71">(J64-I64)/I64</f>
        <v>1.1845399358049962</v>
      </c>
      <c r="K65" s="411">
        <f t="shared" ref="K65" si="72">(K64-J64)/J64</f>
        <v>3.6787897282626922E-2</v>
      </c>
      <c r="L65" s="411">
        <f t="shared" ref="L65" si="73">(L64-K64)/K64</f>
        <v>4.689341365710769E-2</v>
      </c>
      <c r="M65" s="428">
        <f t="shared" ref="M65" si="74">(M64-L64)/L64</f>
        <v>-0.4128721732181071</v>
      </c>
      <c r="O65" s="617"/>
      <c r="P65" s="617"/>
    </row>
    <row r="66" spans="2:16" outlineLevel="2">
      <c r="B66" s="417"/>
      <c r="C66" s="429" t="str">
        <f>C60</f>
        <v>Total Debt</v>
      </c>
      <c r="D66" s="421"/>
      <c r="E66" s="421"/>
      <c r="F66" s="430">
        <f t="shared" ref="F66:M66" si="75">F60</f>
        <v>828</v>
      </c>
      <c r="G66" s="430">
        <f t="shared" si="75"/>
        <v>524</v>
      </c>
      <c r="H66" s="430">
        <f t="shared" si="75"/>
        <v>467</v>
      </c>
      <c r="I66" s="430">
        <f t="shared" si="75"/>
        <v>350</v>
      </c>
      <c r="J66" s="430">
        <f t="shared" si="75"/>
        <v>867</v>
      </c>
      <c r="K66" s="430">
        <f t="shared" si="75"/>
        <v>999</v>
      </c>
      <c r="L66" s="430">
        <f t="shared" si="75"/>
        <v>1158</v>
      </c>
      <c r="M66" s="431">
        <f t="shared" si="75"/>
        <v>730</v>
      </c>
      <c r="O66" s="617"/>
      <c r="P66" s="617"/>
    </row>
    <row r="67" spans="2:16" ht="28" outlineLevel="2" thickBot="1">
      <c r="B67" s="418"/>
      <c r="C67" s="432" t="s">
        <v>289</v>
      </c>
      <c r="D67" s="425"/>
      <c r="E67" s="425"/>
      <c r="F67" s="433">
        <v>8702</v>
      </c>
      <c r="G67" s="433">
        <v>8437</v>
      </c>
      <c r="H67" s="433">
        <v>9337</v>
      </c>
      <c r="I67" s="433">
        <v>10833</v>
      </c>
      <c r="J67" s="433">
        <v>12284</v>
      </c>
      <c r="K67" s="433">
        <v>13652</v>
      </c>
      <c r="L67" s="433">
        <v>15116</v>
      </c>
      <c r="M67" s="434">
        <v>16230</v>
      </c>
      <c r="O67" s="617"/>
      <c r="P67" s="617"/>
    </row>
    <row r="68" spans="2:16" outlineLevel="1">
      <c r="B68" s="49" t="s">
        <v>476</v>
      </c>
      <c r="O68" s="617"/>
      <c r="P68" s="617"/>
    </row>
    <row r="69" spans="2:16" outlineLevel="2">
      <c r="O69" s="617"/>
      <c r="P69" s="617"/>
    </row>
    <row r="70" spans="2:16" ht="28" outlineLevel="2" thickBot="1">
      <c r="O70" s="617"/>
      <c r="P70" s="617"/>
    </row>
    <row r="71" spans="2:16" ht="28" outlineLevel="1" thickBot="1">
      <c r="B71" s="435" t="s">
        <v>477</v>
      </c>
      <c r="C71" s="436"/>
      <c r="D71" s="436"/>
      <c r="E71" s="436"/>
      <c r="F71" s="439">
        <f>F74/F73</f>
        <v>3.6426116838487975E-2</v>
      </c>
      <c r="G71" s="439">
        <f t="shared" ref="G71:M71" si="76">G74/G73</f>
        <v>3.8387715930902108E-2</v>
      </c>
      <c r="H71" s="439">
        <f t="shared" si="76"/>
        <v>3.1806615776081425E-2</v>
      </c>
      <c r="I71" s="439">
        <f t="shared" si="76"/>
        <v>1.7593643586833144E-2</v>
      </c>
      <c r="J71" s="439">
        <f t="shared" si="76"/>
        <v>1.950975487743872E-2</v>
      </c>
      <c r="K71" s="439">
        <f t="shared" si="76"/>
        <v>4.2139384116693678E-2</v>
      </c>
      <c r="L71" s="439">
        <f t="shared" si="76"/>
        <v>6.1969015492253872E-2</v>
      </c>
      <c r="M71" s="440">
        <f t="shared" si="76"/>
        <v>8.7700534759358295E-2</v>
      </c>
      <c r="O71" s="622">
        <f>AVERAGE(F71:M71)</f>
        <v>4.1941597672256151E-2</v>
      </c>
      <c r="P71" s="622">
        <f>MEDIAN(F71:M71)</f>
        <v>3.7406916384695038E-2</v>
      </c>
    </row>
    <row r="72" spans="2:16" ht="28" outlineLevel="1" thickBot="1">
      <c r="B72" s="441"/>
      <c r="C72" s="408" t="s">
        <v>528</v>
      </c>
      <c r="D72" s="409"/>
      <c r="E72" s="410"/>
      <c r="F72" s="411"/>
      <c r="G72" s="411">
        <f>(G71-F71)/F71</f>
        <v>5.3851446782312525E-2</v>
      </c>
      <c r="H72" s="411">
        <f>(H71-G71)/G71</f>
        <v>-0.17143765903307881</v>
      </c>
      <c r="I72" s="411">
        <f t="shared" ref="I72" si="77">(I71-H71)/H71</f>
        <v>-0.44685584562996594</v>
      </c>
      <c r="J72" s="411">
        <f t="shared" ref="J72" si="78">(J71-I71)/I71</f>
        <v>0.10890929335635564</v>
      </c>
      <c r="K72" s="411">
        <f t="shared" ref="K72" si="79">(K71-J71)/J71</f>
        <v>1.1599135602377093</v>
      </c>
      <c r="L72" s="411">
        <f t="shared" ref="L72" si="80">(L71-K71)/K71</f>
        <v>0.47057240610464002</v>
      </c>
      <c r="M72" s="428">
        <f t="shared" ref="M72" si="81">(M71-L71)/L71</f>
        <v>0.41523201656028991</v>
      </c>
      <c r="O72" s="617"/>
      <c r="P72" s="617"/>
    </row>
    <row r="73" spans="2:16" outlineLevel="1">
      <c r="B73" s="417"/>
      <c r="C73" s="420" t="s">
        <v>500</v>
      </c>
      <c r="D73" s="421"/>
      <c r="E73" s="421"/>
      <c r="F73" s="444">
        <f t="shared" ref="F73:M73" si="82">R138</f>
        <v>1455</v>
      </c>
      <c r="G73" s="444">
        <f t="shared" si="82"/>
        <v>1563</v>
      </c>
      <c r="H73" s="444">
        <f t="shared" si="82"/>
        <v>1572</v>
      </c>
      <c r="I73" s="444">
        <f t="shared" si="82"/>
        <v>1762</v>
      </c>
      <c r="J73" s="444">
        <f t="shared" si="82"/>
        <v>1999</v>
      </c>
      <c r="K73" s="444">
        <f t="shared" si="82"/>
        <v>1851</v>
      </c>
      <c r="L73" s="444">
        <f t="shared" si="82"/>
        <v>2001</v>
      </c>
      <c r="M73" s="445">
        <f t="shared" si="82"/>
        <v>1870</v>
      </c>
      <c r="O73" s="617"/>
      <c r="P73" s="617"/>
    </row>
    <row r="74" spans="2:16" ht="28" outlineLevel="1" thickBot="1">
      <c r="B74" s="418"/>
      <c r="C74" s="424" t="s">
        <v>501</v>
      </c>
      <c r="D74" s="425"/>
      <c r="E74" s="425"/>
      <c r="F74" s="442">
        <v>53</v>
      </c>
      <c r="G74" s="442">
        <v>60</v>
      </c>
      <c r="H74" s="442">
        <v>50</v>
      </c>
      <c r="I74" s="442">
        <v>31</v>
      </c>
      <c r="J74" s="442">
        <v>39</v>
      </c>
      <c r="K74" s="442">
        <v>78</v>
      </c>
      <c r="L74" s="442">
        <v>124</v>
      </c>
      <c r="M74" s="443">
        <v>164</v>
      </c>
      <c r="O74" s="617"/>
      <c r="P74" s="617"/>
    </row>
    <row r="75" spans="2:16" ht="28" thickBot="1">
      <c r="B75" s="50" t="s">
        <v>464</v>
      </c>
      <c r="O75" s="617"/>
      <c r="P75" s="617"/>
    </row>
    <row r="76" spans="2:16" ht="28" outlineLevel="1" thickBot="1">
      <c r="B76" s="435" t="s">
        <v>478</v>
      </c>
      <c r="C76" s="436"/>
      <c r="D76" s="436"/>
      <c r="E76" s="436"/>
      <c r="F76" s="475">
        <f>F78/F79</f>
        <v>3.8745609633718012</v>
      </c>
      <c r="G76" s="475">
        <f t="shared" ref="G76:M76" si="83">G78/G79</f>
        <v>4.2606955216412308</v>
      </c>
      <c r="H76" s="475">
        <f t="shared" si="83"/>
        <v>4.1141639033633348</v>
      </c>
      <c r="I76" s="475">
        <f t="shared" si="83"/>
        <v>4.2535587188612096</v>
      </c>
      <c r="J76" s="475">
        <f t="shared" si="83"/>
        <v>4.7853219072731266</v>
      </c>
      <c r="K76" s="475">
        <f t="shared" si="83"/>
        <v>3.9171054866655344</v>
      </c>
      <c r="L76" s="475">
        <f t="shared" si="83"/>
        <v>3.3551528266161754</v>
      </c>
      <c r="M76" s="476">
        <f t="shared" si="83"/>
        <v>3.2192184497117231</v>
      </c>
      <c r="O76" s="622">
        <f>AVERAGE(F76:M76)</f>
        <v>3.9724722221880171</v>
      </c>
      <c r="P76" s="622">
        <f>MEDIAN(F76:M76)</f>
        <v>4.0156346950144348</v>
      </c>
    </row>
    <row r="77" spans="2:16" s="1" customFormat="1" ht="28" outlineLevel="1" thickBot="1">
      <c r="B77" s="441"/>
      <c r="C77" s="408" t="s">
        <v>528</v>
      </c>
      <c r="D77" s="409"/>
      <c r="E77" s="410"/>
      <c r="F77" s="411"/>
      <c r="G77" s="411">
        <f>(G76-F76)/F76</f>
        <v>9.9658919273630298E-2</v>
      </c>
      <c r="H77" s="411">
        <f>(H76-G76)/G76</f>
        <v>-3.4391478464870825E-2</v>
      </c>
      <c r="I77" s="411">
        <f t="shared" ref="I77" si="84">(I76-H76)/H76</f>
        <v>3.3881687451469626E-2</v>
      </c>
      <c r="J77" s="411">
        <f t="shared" ref="J77" si="85">(J76-I76)/I76</f>
        <v>0.12501606855783198</v>
      </c>
      <c r="K77" s="411">
        <f t="shared" ref="K77" si="86">(K76-J76)/J76</f>
        <v>-0.18143323216939811</v>
      </c>
      <c r="L77" s="411">
        <f t="shared" ref="L77" si="87">(L76-K76)/K76</f>
        <v>-0.14346120163532419</v>
      </c>
      <c r="M77" s="428">
        <f t="shared" ref="M77" si="88">(M76-L76)/L76</f>
        <v>-4.0515107337613689E-2</v>
      </c>
      <c r="O77" s="618"/>
      <c r="P77" s="618"/>
    </row>
    <row r="78" spans="2:16" outlineLevel="2">
      <c r="B78" s="417"/>
      <c r="C78" s="420" t="s">
        <v>240</v>
      </c>
      <c r="D78" s="421"/>
      <c r="E78" s="421"/>
      <c r="F78" s="477">
        <v>7722</v>
      </c>
      <c r="G78" s="477">
        <v>8515</v>
      </c>
      <c r="H78" s="477">
        <v>8685</v>
      </c>
      <c r="I78" s="477">
        <v>9562</v>
      </c>
      <c r="J78" s="477">
        <v>10889</v>
      </c>
      <c r="K78" s="477">
        <v>11530</v>
      </c>
      <c r="L78" s="477">
        <v>12404</v>
      </c>
      <c r="M78" s="478">
        <v>12563</v>
      </c>
      <c r="O78" s="617"/>
      <c r="P78" s="617"/>
    </row>
    <row r="79" spans="2:16" ht="28" outlineLevel="2" thickBot="1">
      <c r="B79" s="418"/>
      <c r="C79" s="424" t="s">
        <v>502</v>
      </c>
      <c r="D79" s="425"/>
      <c r="E79" s="425"/>
      <c r="F79" s="460">
        <f t="shared" ref="F79:M79" si="89">F153</f>
        <v>1993</v>
      </c>
      <c r="G79" s="460">
        <f t="shared" si="89"/>
        <v>1998.5</v>
      </c>
      <c r="H79" s="460">
        <f t="shared" si="89"/>
        <v>2111</v>
      </c>
      <c r="I79" s="460">
        <f t="shared" si="89"/>
        <v>2248</v>
      </c>
      <c r="J79" s="460">
        <f t="shared" si="89"/>
        <v>2275.5</v>
      </c>
      <c r="K79" s="460">
        <f t="shared" si="89"/>
        <v>2943.5</v>
      </c>
      <c r="L79" s="460">
        <f t="shared" si="89"/>
        <v>3697</v>
      </c>
      <c r="M79" s="462">
        <f t="shared" si="89"/>
        <v>3902.5</v>
      </c>
      <c r="O79" s="617"/>
      <c r="P79" s="617"/>
    </row>
    <row r="80" spans="2:16" ht="28" outlineLevel="2" thickBot="1">
      <c r="O80" s="617"/>
      <c r="P80" s="617"/>
    </row>
    <row r="81" spans="2:16" ht="28" outlineLevel="1" thickBot="1">
      <c r="B81" s="435" t="s">
        <v>479</v>
      </c>
      <c r="C81" s="436"/>
      <c r="D81" s="436"/>
      <c r="E81" s="436"/>
      <c r="F81" s="475">
        <f>F86/F83</f>
        <v>2.2928480744815913</v>
      </c>
      <c r="G81" s="475">
        <f t="shared" ref="G81:M81" si="90">G86/G83</f>
        <v>2.4098552991787252</v>
      </c>
      <c r="H81" s="475">
        <f t="shared" si="90"/>
        <v>2.2924281984334205</v>
      </c>
      <c r="I81" s="475">
        <f t="shared" si="90"/>
        <v>2.2845215157353884</v>
      </c>
      <c r="J81" s="475">
        <f t="shared" si="90"/>
        <v>2.2650205761316871</v>
      </c>
      <c r="K81" s="475">
        <f t="shared" si="90"/>
        <v>2.3740787801778906</v>
      </c>
      <c r="L81" s="475">
        <f t="shared" si="90"/>
        <v>2.3993956182321834</v>
      </c>
      <c r="M81" s="476">
        <f t="shared" si="90"/>
        <v>2.2542971509300682</v>
      </c>
      <c r="O81" s="622">
        <f>AVERAGE(F81:M81)</f>
        <v>2.321555651662619</v>
      </c>
      <c r="P81" s="622">
        <f>MEDIAN(F81:M81)</f>
        <v>2.2926381364575059</v>
      </c>
    </row>
    <row r="82" spans="2:16" ht="28" outlineLevel="1" thickBot="1">
      <c r="B82" s="417"/>
      <c r="C82" s="408" t="s">
        <v>528</v>
      </c>
      <c r="D82" s="409"/>
      <c r="E82" s="410"/>
      <c r="F82" s="411"/>
      <c r="G82" s="411">
        <f>(G81-F81)/F81</f>
        <v>5.1031390173371598E-2</v>
      </c>
      <c r="H82" s="411">
        <f>(H81-G81)/G81</f>
        <v>-4.8727863778926343E-2</v>
      </c>
      <c r="I82" s="411">
        <f t="shared" ref="I82" si="91">(I81-H81)/H81</f>
        <v>-3.4490426803488435E-3</v>
      </c>
      <c r="J82" s="411">
        <f t="shared" ref="J82" si="92">(J81-I81)/I81</f>
        <v>-8.5361155363966896E-3</v>
      </c>
      <c r="K82" s="411">
        <f t="shared" ref="K82" si="93">(K81-J81)/J81</f>
        <v>4.8148880056735961E-2</v>
      </c>
      <c r="L82" s="411">
        <f t="shared" ref="L82" si="94">(L81-K81)/K81</f>
        <v>1.0663857604757221E-2</v>
      </c>
      <c r="M82" s="412">
        <f t="shared" ref="M82" si="95">(M81-L81)/L81</f>
        <v>-6.0472923347680452E-2</v>
      </c>
      <c r="O82" s="617"/>
      <c r="P82" s="617"/>
    </row>
    <row r="83" spans="2:16" outlineLevel="2">
      <c r="B83" s="417"/>
      <c r="C83" s="420" t="s">
        <v>504</v>
      </c>
      <c r="D83" s="421"/>
      <c r="E83" s="421"/>
      <c r="F83" s="457">
        <f>(F84+F85)/2</f>
        <v>1181.5</v>
      </c>
      <c r="G83" s="457">
        <f t="shared" ref="G83:M83" si="96">(G84+G85)/2</f>
        <v>1278.5</v>
      </c>
      <c r="H83" s="457">
        <f t="shared" si="96"/>
        <v>1340.5</v>
      </c>
      <c r="I83" s="457">
        <f t="shared" si="96"/>
        <v>1557</v>
      </c>
      <c r="J83" s="457">
        <f t="shared" si="96"/>
        <v>1822.5</v>
      </c>
      <c r="K83" s="457">
        <f t="shared" si="96"/>
        <v>1967.5</v>
      </c>
      <c r="L83" s="457">
        <f t="shared" si="96"/>
        <v>1985.5</v>
      </c>
      <c r="M83" s="474">
        <f t="shared" si="96"/>
        <v>2123.5</v>
      </c>
      <c r="O83" s="617"/>
      <c r="P83" s="617"/>
    </row>
    <row r="84" spans="2:16" outlineLevel="3">
      <c r="B84" s="417"/>
      <c r="C84" s="417"/>
      <c r="D84" s="49" t="s">
        <v>505</v>
      </c>
      <c r="F84" s="379">
        <v>1107</v>
      </c>
      <c r="G84" s="379">
        <v>1256</v>
      </c>
      <c r="H84" s="379">
        <v>1301</v>
      </c>
      <c r="I84" s="379">
        <v>1380</v>
      </c>
      <c r="J84" s="379">
        <v>1734</v>
      </c>
      <c r="K84" s="379">
        <v>1911</v>
      </c>
      <c r="L84" s="379">
        <v>2024</v>
      </c>
      <c r="M84" s="461">
        <v>1947</v>
      </c>
      <c r="O84" s="617"/>
      <c r="P84" s="617"/>
    </row>
    <row r="85" spans="2:16" outlineLevel="3" collapsed="1">
      <c r="B85" s="417"/>
      <c r="C85" s="417"/>
      <c r="D85" s="49" t="s">
        <v>506</v>
      </c>
      <c r="F85" s="379">
        <v>1256</v>
      </c>
      <c r="G85" s="379">
        <v>1301</v>
      </c>
      <c r="H85" s="379">
        <v>1380</v>
      </c>
      <c r="I85" s="379">
        <v>1734</v>
      </c>
      <c r="J85" s="379">
        <v>1911</v>
      </c>
      <c r="K85" s="379">
        <v>2024</v>
      </c>
      <c r="L85" s="379">
        <v>1947</v>
      </c>
      <c r="M85" s="461">
        <v>2300</v>
      </c>
      <c r="O85" s="617"/>
      <c r="P85" s="617"/>
    </row>
    <row r="86" spans="2:16" ht="28" outlineLevel="2" thickBot="1">
      <c r="B86" s="417"/>
      <c r="C86" s="578" t="s">
        <v>503</v>
      </c>
      <c r="D86" s="579"/>
      <c r="E86" s="579"/>
      <c r="F86" s="593">
        <v>2709</v>
      </c>
      <c r="G86" s="593">
        <v>3081</v>
      </c>
      <c r="H86" s="593">
        <v>3073</v>
      </c>
      <c r="I86" s="593">
        <v>3557</v>
      </c>
      <c r="J86" s="593">
        <v>4128</v>
      </c>
      <c r="K86" s="593">
        <v>4671</v>
      </c>
      <c r="L86" s="593">
        <v>4764</v>
      </c>
      <c r="M86" s="594">
        <v>4787</v>
      </c>
      <c r="O86" s="617"/>
      <c r="P86" s="617"/>
    </row>
    <row r="87" spans="2:16" ht="28" outlineLevel="1" thickBot="1">
      <c r="B87" s="600" t="s">
        <v>480</v>
      </c>
      <c r="C87" s="601"/>
      <c r="D87" s="601"/>
      <c r="E87" s="601"/>
      <c r="F87" s="603">
        <f>F89/F90</f>
        <v>11.389380530973451</v>
      </c>
      <c r="G87" s="603">
        <f t="shared" ref="G87:M87" si="97">G89/G90</f>
        <v>11.058441558441558</v>
      </c>
      <c r="H87" s="603">
        <f t="shared" si="97"/>
        <v>10.54004854368932</v>
      </c>
      <c r="I87" s="603">
        <f t="shared" si="97"/>
        <v>13.898255813953488</v>
      </c>
      <c r="J87" s="603">
        <f t="shared" si="97"/>
        <v>18.028145695364238</v>
      </c>
      <c r="K87" s="603">
        <f t="shared" si="97"/>
        <v>15.424749163879598</v>
      </c>
      <c r="L87" s="603">
        <f t="shared" si="97"/>
        <v>14.192219679633867</v>
      </c>
      <c r="M87" s="604">
        <f t="shared" si="97"/>
        <v>14.060436485730275</v>
      </c>
      <c r="O87" s="622">
        <f>AVERAGE(F87:M87)</f>
        <v>13.573959683958224</v>
      </c>
      <c r="P87" s="622">
        <f>MEDIAN(F87:M87)</f>
        <v>13.979346149841881</v>
      </c>
    </row>
    <row r="88" spans="2:16" ht="28" outlineLevel="1" thickBot="1">
      <c r="B88" s="146"/>
      <c r="C88" s="597" t="s">
        <v>528</v>
      </c>
      <c r="D88" s="584"/>
      <c r="E88" s="585"/>
      <c r="F88" s="598"/>
      <c r="G88" s="598">
        <f>(G87-F87)/F87</f>
        <v>-2.9056801784074521E-2</v>
      </c>
      <c r="H88" s="598">
        <f>(H87-G87)/G87</f>
        <v>-4.6877583248294004E-2</v>
      </c>
      <c r="I88" s="598">
        <f t="shared" ref="I88" si="98">(I87-H87)/H87</f>
        <v>0.31861402310854059</v>
      </c>
      <c r="J88" s="598">
        <f t="shared" ref="J88" si="99">(J87-I87)/I87</f>
        <v>0.29715166684904781</v>
      </c>
      <c r="K88" s="598">
        <f t="shared" ref="K88" si="100">(K87-J87)/J87</f>
        <v>-0.14440733814094245</v>
      </c>
      <c r="L88" s="598">
        <f t="shared" ref="L88" si="101">(L87-K87)/K87</f>
        <v>-7.9905966129547618E-2</v>
      </c>
      <c r="M88" s="599">
        <f t="shared" ref="M88" si="102">(M87-L87)/L87</f>
        <v>-9.2855942818235778E-3</v>
      </c>
      <c r="O88" s="617"/>
      <c r="P88" s="617"/>
    </row>
    <row r="89" spans="2:16" outlineLevel="2">
      <c r="C89" s="49" t="s">
        <v>507</v>
      </c>
      <c r="F89" s="595">
        <v>7722</v>
      </c>
      <c r="G89" s="595">
        <v>8515</v>
      </c>
      <c r="H89" s="595">
        <v>8685</v>
      </c>
      <c r="I89" s="595">
        <v>9562</v>
      </c>
      <c r="J89" s="595">
        <v>10889</v>
      </c>
      <c r="K89" s="595">
        <v>11530</v>
      </c>
      <c r="L89" s="595">
        <v>12404</v>
      </c>
      <c r="M89" s="596">
        <v>12563</v>
      </c>
      <c r="O89" s="617"/>
      <c r="P89" s="617"/>
    </row>
    <row r="90" spans="2:16" outlineLevel="2">
      <c r="C90" s="49" t="s">
        <v>508</v>
      </c>
      <c r="F90" s="458">
        <f>(F91+F92)/2</f>
        <v>678</v>
      </c>
      <c r="G90" s="458">
        <f t="shared" ref="G90:M90" si="103">(G91+G92)/2</f>
        <v>770</v>
      </c>
      <c r="H90" s="458">
        <f t="shared" si="103"/>
        <v>824</v>
      </c>
      <c r="I90" s="458">
        <f t="shared" si="103"/>
        <v>688</v>
      </c>
      <c r="J90" s="458">
        <f t="shared" si="103"/>
        <v>604</v>
      </c>
      <c r="K90" s="458">
        <f t="shared" si="103"/>
        <v>747.5</v>
      </c>
      <c r="L90" s="458">
        <f t="shared" si="103"/>
        <v>874</v>
      </c>
      <c r="M90" s="458">
        <f t="shared" si="103"/>
        <v>893.5</v>
      </c>
      <c r="O90" s="617"/>
      <c r="P90" s="617"/>
    </row>
    <row r="91" spans="2:16" outlineLevel="3">
      <c r="D91" s="49" t="s">
        <v>509</v>
      </c>
      <c r="F91" s="549">
        <v>650</v>
      </c>
      <c r="G91" s="549">
        <v>706</v>
      </c>
      <c r="H91" s="549">
        <v>834</v>
      </c>
      <c r="I91" s="549">
        <v>814</v>
      </c>
      <c r="J91" s="549">
        <v>562</v>
      </c>
      <c r="K91" s="549">
        <v>646</v>
      </c>
      <c r="L91" s="549">
        <v>849</v>
      </c>
      <c r="M91" s="549">
        <v>899</v>
      </c>
      <c r="O91" s="617"/>
      <c r="P91" s="617"/>
    </row>
    <row r="92" spans="2:16" ht="28" outlineLevel="3" thickBot="1">
      <c r="D92" s="49" t="s">
        <v>510</v>
      </c>
      <c r="F92" s="549">
        <v>706</v>
      </c>
      <c r="G92" s="549">
        <v>834</v>
      </c>
      <c r="H92" s="549">
        <v>814</v>
      </c>
      <c r="I92" s="549">
        <v>562</v>
      </c>
      <c r="J92" s="549">
        <v>646</v>
      </c>
      <c r="K92" s="549">
        <v>849</v>
      </c>
      <c r="L92" s="549">
        <v>899</v>
      </c>
      <c r="M92" s="549">
        <v>888</v>
      </c>
      <c r="O92" s="617"/>
      <c r="P92" s="617"/>
    </row>
    <row r="93" spans="2:16" ht="28" outlineLevel="1" thickBot="1">
      <c r="B93" s="403" t="s">
        <v>481</v>
      </c>
      <c r="C93" s="352"/>
      <c r="D93" s="352"/>
      <c r="E93" s="352"/>
      <c r="F93" s="605">
        <f>F95/F96</f>
        <v>5.5169753086419764</v>
      </c>
      <c r="G93" s="605">
        <f t="shared" ref="G93:M93" si="104">G95/G96</f>
        <v>11.94232899959327</v>
      </c>
      <c r="H93" s="605">
        <f t="shared" si="104"/>
        <v>4.363181480216225</v>
      </c>
      <c r="I93" s="605">
        <f t="shared" si="104"/>
        <v>5.0493742409040507</v>
      </c>
      <c r="J93" s="605">
        <f t="shared" si="104"/>
        <v>-31.201467090747585</v>
      </c>
      <c r="K93" s="605">
        <f t="shared" si="104"/>
        <v>-22.733994518603225</v>
      </c>
      <c r="L93" s="605">
        <f t="shared" si="104"/>
        <v>33.151592901432558</v>
      </c>
      <c r="M93" s="606">
        <f t="shared" si="104"/>
        <v>-54.006534261886259</v>
      </c>
      <c r="O93" s="622">
        <f>AVERAGE(F93:M93)</f>
        <v>-5.9898178675561233</v>
      </c>
      <c r="P93" s="622">
        <f>MEDIAN(F93:M93)</f>
        <v>4.7062778605601379</v>
      </c>
    </row>
    <row r="94" spans="2:16" ht="28" outlineLevel="1" thickBot="1">
      <c r="B94" s="144"/>
      <c r="C94" s="408" t="s">
        <v>528</v>
      </c>
      <c r="D94" s="409"/>
      <c r="E94" s="410"/>
      <c r="F94" s="411"/>
      <c r="G94" s="411">
        <f>(G93-F93)/F93</f>
        <v>1.1646515221640386</v>
      </c>
      <c r="H94" s="411">
        <f>(H93-G93)/G93</f>
        <v>-0.63464568089148898</v>
      </c>
      <c r="I94" s="411">
        <f t="shared" ref="I94" si="105">(I93-H93)/H93</f>
        <v>0.157268902015467</v>
      </c>
      <c r="J94" s="411">
        <f t="shared" ref="J94" si="106">(J93-I93)/I93</f>
        <v>-7.1792740252822309</v>
      </c>
      <c r="K94" s="411">
        <f t="shared" ref="K94" si="107">(K93-J93)/J93</f>
        <v>-0.27138059077533844</v>
      </c>
      <c r="L94" s="411">
        <f t="shared" ref="L94" si="108">(L93-K93)/K93</f>
        <v>-2.4582388006781919</v>
      </c>
      <c r="M94" s="412">
        <f t="shared" ref="M94" si="109">(M93-L93)/L93</f>
        <v>-2.6290781086284549</v>
      </c>
      <c r="O94" s="617"/>
      <c r="P94" s="617"/>
    </row>
    <row r="95" spans="2:16" outlineLevel="2">
      <c r="B95" s="144"/>
      <c r="C95" s="394" t="s">
        <v>240</v>
      </c>
      <c r="D95" s="314"/>
      <c r="E95" s="314"/>
      <c r="F95" s="582">
        <v>7722</v>
      </c>
      <c r="G95" s="582">
        <v>8515</v>
      </c>
      <c r="H95" s="582">
        <v>8685</v>
      </c>
      <c r="I95" s="582">
        <v>9562</v>
      </c>
      <c r="J95" s="582">
        <v>10889</v>
      </c>
      <c r="K95" s="582">
        <v>11530</v>
      </c>
      <c r="L95" s="582">
        <v>12404</v>
      </c>
      <c r="M95" s="583">
        <v>12563</v>
      </c>
      <c r="O95" s="617"/>
      <c r="P95" s="617"/>
    </row>
    <row r="96" spans="2:16" ht="28" outlineLevel="3" thickBot="1">
      <c r="B96" s="144"/>
      <c r="C96" s="586" t="s">
        <v>644</v>
      </c>
      <c r="D96" s="587"/>
      <c r="E96" s="588"/>
      <c r="F96" s="589">
        <f>F97-F98</f>
        <v>1399.6799999999998</v>
      </c>
      <c r="G96" s="589">
        <f t="shared" ref="G96:M96" si="110">G97-G98</f>
        <v>713.01000000000022</v>
      </c>
      <c r="H96" s="589">
        <f t="shared" si="110"/>
        <v>1990.52</v>
      </c>
      <c r="I96" s="589">
        <f t="shared" si="110"/>
        <v>1893.6999999999998</v>
      </c>
      <c r="J96" s="589">
        <f t="shared" si="110"/>
        <v>-348.99</v>
      </c>
      <c r="K96" s="589">
        <f t="shared" si="110"/>
        <v>-507.17000000000007</v>
      </c>
      <c r="L96" s="589">
        <f t="shared" si="110"/>
        <v>374.15999999999985</v>
      </c>
      <c r="M96" s="590">
        <f t="shared" si="110"/>
        <v>-232.62000000000035</v>
      </c>
      <c r="O96" s="617"/>
      <c r="P96" s="617"/>
    </row>
    <row r="97" spans="2:16" outlineLevel="3">
      <c r="B97" s="144"/>
      <c r="D97" s="591" t="s">
        <v>487</v>
      </c>
      <c r="E97" s="579"/>
      <c r="F97" s="580">
        <v>2634.16</v>
      </c>
      <c r="G97" s="580">
        <v>2231.2800000000002</v>
      </c>
      <c r="H97" s="580">
        <v>3432.37</v>
      </c>
      <c r="I97" s="580">
        <v>3930.1</v>
      </c>
      <c r="J97" s="580">
        <v>1958.84</v>
      </c>
      <c r="K97" s="580">
        <v>2124.35</v>
      </c>
      <c r="L97" s="580">
        <v>3265.19</v>
      </c>
      <c r="M97" s="581">
        <v>2829.99</v>
      </c>
      <c r="O97" s="617"/>
      <c r="P97" s="617"/>
    </row>
    <row r="98" spans="2:16" ht="28" outlineLevel="3" thickBot="1">
      <c r="B98" s="146"/>
      <c r="C98" s="147"/>
      <c r="D98" s="592" t="s">
        <v>488</v>
      </c>
      <c r="E98" s="398"/>
      <c r="F98" s="576">
        <v>1234.48</v>
      </c>
      <c r="G98" s="576">
        <v>1518.27</v>
      </c>
      <c r="H98" s="576">
        <v>1441.85</v>
      </c>
      <c r="I98" s="576">
        <v>2036.4</v>
      </c>
      <c r="J98" s="576">
        <v>2307.83</v>
      </c>
      <c r="K98" s="576">
        <v>2631.52</v>
      </c>
      <c r="L98" s="576">
        <v>2891.03</v>
      </c>
      <c r="M98" s="577">
        <v>3062.61</v>
      </c>
      <c r="O98" s="617"/>
      <c r="P98" s="617"/>
    </row>
    <row r="99" spans="2:16" ht="28" outlineLevel="2" thickBot="1">
      <c r="O99" s="617"/>
      <c r="P99" s="617"/>
    </row>
    <row r="100" spans="2:16" ht="28" outlineLevel="1" thickBot="1">
      <c r="B100" s="600" t="s">
        <v>482</v>
      </c>
      <c r="C100" s="601"/>
      <c r="D100" s="601"/>
      <c r="E100" s="601"/>
      <c r="F100" s="601"/>
      <c r="G100" s="601"/>
      <c r="H100" s="601"/>
      <c r="I100" s="601">
        <f>I102+I103-I104</f>
        <v>2.4585438686208221</v>
      </c>
      <c r="J100" s="601">
        <f>J102+J103-J104</f>
        <v>9.2311995234770166</v>
      </c>
      <c r="K100" s="601">
        <f>K102+K103-K104</f>
        <v>14.411686057367604</v>
      </c>
      <c r="L100" s="601">
        <f>L102+L103-L104</f>
        <v>3.2925075421113092</v>
      </c>
      <c r="M100" s="602">
        <f>M102+M103-M104</f>
        <v>-8.8869048029334294</v>
      </c>
      <c r="O100" s="622">
        <f>AVERAGE(F100:M100)</f>
        <v>4.1014064377286648</v>
      </c>
      <c r="P100" s="622">
        <f>MEDIAN(F100:M100)</f>
        <v>3.2925075421113092</v>
      </c>
    </row>
    <row r="101" spans="2:16" ht="28" outlineLevel="1" thickBot="1">
      <c r="B101" s="146"/>
      <c r="C101" s="597" t="s">
        <v>528</v>
      </c>
      <c r="D101" s="584"/>
      <c r="E101" s="585"/>
      <c r="F101" s="598"/>
      <c r="G101" s="598"/>
      <c r="H101" s="598"/>
      <c r="I101" s="598"/>
      <c r="J101" s="598"/>
      <c r="K101" s="598">
        <f t="shared" ref="K101" si="111">(K100-J100)/J100</f>
        <v>0.56119321445879755</v>
      </c>
      <c r="L101" s="598">
        <f t="shared" ref="L101" si="112">(L100-K100)/K100</f>
        <v>-0.77153904622921621</v>
      </c>
      <c r="M101" s="599">
        <f t="shared" ref="M101" si="113">(M100-L100)/L100</f>
        <v>-3.6991296722238429</v>
      </c>
    </row>
    <row r="102" spans="2:16" outlineLevel="2">
      <c r="B102" s="144"/>
      <c r="D102" s="607" t="s">
        <v>642</v>
      </c>
      <c r="E102" s="579"/>
      <c r="F102" s="579"/>
      <c r="G102" s="579"/>
      <c r="H102" s="579"/>
      <c r="I102" s="579">
        <f>(('Fore - Balan'!M42+'Fore - Balan'!L42)/2)/'P &amp; L'!O12*365</f>
        <v>10.71868872004309</v>
      </c>
      <c r="J102" s="579">
        <f>(('Fore - Balan'!N42+'Fore - Balan'!M42)/2)/'P &amp; L'!P12*365</f>
        <v>20.2421895950657</v>
      </c>
      <c r="K102" s="579">
        <f>(('Fore - Balan'!O42+'Fore - Balan'!N42)/2)/'P &amp; L'!Q12*365</f>
        <v>23.661912646174422</v>
      </c>
      <c r="L102" s="579">
        <f>(('Fore - Balan'!P42+'Fore - Balan'!O42)/2)/'P &amp; L'!R12*365</f>
        <v>25.710498056676833</v>
      </c>
      <c r="M102" s="608">
        <f>(('Fore - Balan'!Q42+'Fore - Balan'!P42)/2)/'P &amp; L'!S12*365</f>
        <v>25.962374702402034</v>
      </c>
      <c r="N102" s="49">
        <v>25</v>
      </c>
      <c r="O102" s="49" t="s">
        <v>646</v>
      </c>
    </row>
    <row r="103" spans="2:16" outlineLevel="2">
      <c r="B103" s="144"/>
      <c r="D103" s="607" t="s">
        <v>641</v>
      </c>
      <c r="E103" s="579"/>
      <c r="F103" s="579"/>
      <c r="G103" s="579"/>
      <c r="H103" s="579"/>
      <c r="I103" s="579">
        <f>(('Fore - Balan'!M37+'Fore - Balan'!L37)/2)/'P &amp; L'!O16*365</f>
        <v>79.154624891836605</v>
      </c>
      <c r="J103" s="579">
        <f>(('Fore - Balan'!N37+'Fore - Balan'!M37)/2)/'P &amp; L'!P16*365</f>
        <v>139.59596590098442</v>
      </c>
      <c r="K103" s="579">
        <f>(('Fore - Balan'!O37+'Fore - Balan'!N37)/2)/'P &amp; L'!Q16*365</f>
        <v>135.33928494037085</v>
      </c>
      <c r="L103" s="579">
        <f>(('Fore - Balan'!P37+'Fore - Balan'!O37)/2)/'P &amp; L'!R16*365</f>
        <v>139.72479226512948</v>
      </c>
      <c r="M103" s="608">
        <f>(('Fore - Balan'!Q37+'Fore - Balan'!P37)/2)/'P &amp; L'!S16*365</f>
        <v>148.01211836507099</v>
      </c>
      <c r="N103" s="49">
        <v>135</v>
      </c>
      <c r="O103" s="49" t="s">
        <v>646</v>
      </c>
    </row>
    <row r="104" spans="2:16" ht="28" outlineLevel="2" thickBot="1">
      <c r="B104" s="146"/>
      <c r="C104" s="147"/>
      <c r="D104" s="397" t="s">
        <v>645</v>
      </c>
      <c r="E104" s="398"/>
      <c r="F104" s="398"/>
      <c r="G104" s="398"/>
      <c r="H104" s="398"/>
      <c r="I104" s="398">
        <f>(('Fore - Balan'!M89+'Fore - Balan'!M90+'Fore - Balan'!L89+'Fore - Balan'!L90)/2)/'P &amp; L'!O16*365</f>
        <v>87.414769743258873</v>
      </c>
      <c r="J104" s="398">
        <f>(('Fore - Balan'!N89+'Fore - Balan'!N90+'Fore - Balan'!M89+'Fore - Balan'!M90)/2)/'P &amp; L'!P16*365</f>
        <v>150.6069559725731</v>
      </c>
      <c r="K104" s="398">
        <f>(('Fore - Balan'!O89+'Fore - Balan'!O90+'Fore - Balan'!N89+'Fore - Balan'!N90)/2)/'P &amp; L'!Q16*365</f>
        <v>144.58951152917766</v>
      </c>
      <c r="L104" s="398">
        <f>(('Fore - Balan'!P89+'Fore - Balan'!P90+'Fore - Balan'!O89+'Fore - Balan'!O90)/2)/'P &amp; L'!R16*365</f>
        <v>162.14278277969501</v>
      </c>
      <c r="M104" s="609">
        <f>(('Fore - Balan'!Q89+'Fore - Balan'!Q90+'Fore - Balan'!P89+'Fore - Balan'!P90)/2)/'P &amp; L'!S16*365</f>
        <v>182.86139787040645</v>
      </c>
      <c r="N104" s="49">
        <v>170</v>
      </c>
      <c r="O104" s="49" t="s">
        <v>646</v>
      </c>
    </row>
    <row r="105" spans="2:16" outlineLevel="1"/>
    <row r="106" spans="2:16">
      <c r="B106" s="50" t="s">
        <v>465</v>
      </c>
    </row>
    <row r="107" spans="2:16" outlineLevel="1">
      <c r="B107" s="49" t="s">
        <v>483</v>
      </c>
    </row>
    <row r="108" spans="2:16" outlineLevel="2">
      <c r="C108" s="49" t="s">
        <v>511</v>
      </c>
    </row>
    <row r="109" spans="2:16" outlineLevel="2">
      <c r="C109" s="49" t="s">
        <v>512</v>
      </c>
      <c r="I109" s="49">
        <f>'Fore - P&amp; L'!O56</f>
        <v>9.58</v>
      </c>
      <c r="J109" s="49">
        <f>'Fore - P&amp; L'!P56</f>
        <v>9.84</v>
      </c>
      <c r="K109" s="49">
        <f>'Fore - P&amp; L'!Q56</f>
        <v>9.64</v>
      </c>
      <c r="L109" s="49">
        <f>'Fore - P&amp; L'!R56</f>
        <v>10.4</v>
      </c>
      <c r="M109" s="49">
        <f>'Fore - P&amp; L'!S56</f>
        <v>9.9700000000000006</v>
      </c>
    </row>
    <row r="110" spans="2:16" outlineLevel="1">
      <c r="B110" s="49" t="s">
        <v>484</v>
      </c>
    </row>
    <row r="111" spans="2:16" outlineLevel="2">
      <c r="C111" s="49" t="s">
        <v>515</v>
      </c>
    </row>
    <row r="112" spans="2:16" outlineLevel="2">
      <c r="C112" s="49" t="s">
        <v>516</v>
      </c>
    </row>
    <row r="113" spans="2:13" outlineLevel="1">
      <c r="B113" s="49" t="s">
        <v>485</v>
      </c>
    </row>
    <row r="114" spans="2:13" outlineLevel="2">
      <c r="C114" s="49" t="s">
        <v>436</v>
      </c>
    </row>
    <row r="115" spans="2:13" outlineLevel="2">
      <c r="C115" s="49" t="s">
        <v>511</v>
      </c>
    </row>
    <row r="116" spans="2:13" outlineLevel="1">
      <c r="B116" s="49" t="s">
        <v>486</v>
      </c>
    </row>
    <row r="117" spans="2:13" outlineLevel="1">
      <c r="C117" s="49" t="s">
        <v>513</v>
      </c>
    </row>
    <row r="118" spans="2:13" outlineLevel="1">
      <c r="C118" s="49" t="s">
        <v>514</v>
      </c>
    </row>
    <row r="121" spans="2:13">
      <c r="B121" s="49" t="s">
        <v>602</v>
      </c>
      <c r="I121" s="49">
        <f>I123/I122*365</f>
        <v>10.71868872004309</v>
      </c>
      <c r="J121" s="49">
        <f t="shared" ref="J121:M121" si="114">J123/J122*365</f>
        <v>20.2421895950657</v>
      </c>
      <c r="K121" s="49">
        <f t="shared" si="114"/>
        <v>23.661912646174422</v>
      </c>
      <c r="L121" s="49">
        <f t="shared" si="114"/>
        <v>25.710498056676833</v>
      </c>
      <c r="M121" s="49">
        <f t="shared" si="114"/>
        <v>25.962374702402034</v>
      </c>
    </row>
    <row r="122" spans="2:13">
      <c r="C122" s="49" t="s">
        <v>604</v>
      </c>
      <c r="I122" s="49">
        <f>'P &amp; L'!O12</f>
        <v>9561.65</v>
      </c>
      <c r="J122" s="49">
        <f>'P &amp; L'!P12</f>
        <v>10888.68</v>
      </c>
      <c r="K122" s="49">
        <f>'P &amp; L'!Q12</f>
        <v>11529.89</v>
      </c>
      <c r="L122" s="49">
        <f>'P &amp; L'!R12</f>
        <v>12404.01</v>
      </c>
      <c r="M122" s="49">
        <f>'P &amp; L'!S12</f>
        <v>12563.09</v>
      </c>
    </row>
    <row r="123" spans="2:13">
      <c r="C123" s="49" t="s">
        <v>605</v>
      </c>
      <c r="I123" s="49">
        <f>('Balance sheet'!M32+'Balance sheet'!L32)/2</f>
        <v>280.79000000000002</v>
      </c>
      <c r="J123" s="49">
        <f>('Balance sheet'!N32+'Balance sheet'!M32)/2</f>
        <v>603.86500000000001</v>
      </c>
      <c r="K123" s="49">
        <f>('Balance sheet'!O32+'Balance sheet'!N32)/2</f>
        <v>747.45</v>
      </c>
      <c r="L123" s="49">
        <f>('Balance sheet'!P32+'Balance sheet'!O32)/2</f>
        <v>873.73500000000001</v>
      </c>
      <c r="M123" s="49">
        <f>('Balance sheet'!Q32+'Balance sheet'!P32)/2</f>
        <v>893.61</v>
      </c>
    </row>
    <row r="124" spans="2:13">
      <c r="B124" s="49" t="s">
        <v>603</v>
      </c>
      <c r="I124" s="49">
        <f>I126/I125*365</f>
        <v>79.154624891836605</v>
      </c>
      <c r="J124" s="49">
        <f t="shared" ref="J124:M124" si="115">J126/J125*365</f>
        <v>139.59596590098442</v>
      </c>
      <c r="K124" s="49">
        <f t="shared" si="115"/>
        <v>135.33928494037085</v>
      </c>
      <c r="L124" s="49">
        <f t="shared" si="115"/>
        <v>139.72479226512948</v>
      </c>
      <c r="M124" s="49">
        <f t="shared" si="115"/>
        <v>148.01211836507099</v>
      </c>
    </row>
    <row r="125" spans="2:13">
      <c r="C125" s="49" t="s">
        <v>503</v>
      </c>
      <c r="I125" s="49">
        <f>'P &amp; L'!O16</f>
        <v>3998.58</v>
      </c>
      <c r="J125" s="49">
        <f>'P &amp; L'!P16</f>
        <v>4766.12</v>
      </c>
      <c r="K125" s="49">
        <f>'P &amp; L'!Q16</f>
        <v>5306.97</v>
      </c>
      <c r="L125" s="49">
        <f>'P &amp; L'!R16</f>
        <v>5186.8999999999996</v>
      </c>
      <c r="M125" s="49">
        <f>'P &amp; L'!S16</f>
        <v>5236.68</v>
      </c>
    </row>
    <row r="126" spans="2:13">
      <c r="C126" s="49" t="s">
        <v>606</v>
      </c>
      <c r="I126" s="49">
        <f>('Balance sheet'!M29+'Balance sheet'!L29)/2</f>
        <v>867.14</v>
      </c>
      <c r="J126" s="49">
        <f>('Balance sheet'!N29+'Balance sheet'!M29)/2</f>
        <v>1822.8249999999998</v>
      </c>
      <c r="K126" s="49">
        <f>('Balance sheet'!O29+'Balance sheet'!N29)/2</f>
        <v>1967.7849999999999</v>
      </c>
      <c r="L126" s="49">
        <f>('Balance sheet'!P29+'Balance sheet'!O29)/2</f>
        <v>1985.585</v>
      </c>
      <c r="M126" s="49">
        <f>('Balance sheet'!Q29+'Balance sheet'!P29)/2</f>
        <v>2123.54</v>
      </c>
    </row>
    <row r="127" spans="2:13">
      <c r="B127" s="49" t="s">
        <v>608</v>
      </c>
      <c r="I127" s="49">
        <f>I129/I128*365</f>
        <v>87.414769743258873</v>
      </c>
      <c r="J127" s="49">
        <f t="shared" ref="J127:M127" si="116">J129/J128*365</f>
        <v>150.6069559725731</v>
      </c>
      <c r="K127" s="49">
        <f t="shared" si="116"/>
        <v>144.58951152917766</v>
      </c>
      <c r="L127" s="49">
        <f t="shared" si="116"/>
        <v>162.14278277969501</v>
      </c>
      <c r="M127" s="49">
        <f t="shared" si="116"/>
        <v>182.86139787040645</v>
      </c>
    </row>
    <row r="128" spans="2:13">
      <c r="C128" s="49" t="s">
        <v>503</v>
      </c>
      <c r="I128" s="49">
        <f>'P &amp; L'!O16</f>
        <v>3998.58</v>
      </c>
      <c r="J128" s="49">
        <f>'P &amp; L'!P16</f>
        <v>4766.12</v>
      </c>
      <c r="K128" s="49">
        <f>'P &amp; L'!Q16</f>
        <v>5306.97</v>
      </c>
      <c r="L128" s="49">
        <f>'P &amp; L'!R16</f>
        <v>5186.8999999999996</v>
      </c>
      <c r="M128" s="49">
        <f>'P &amp; L'!S16</f>
        <v>5236.68</v>
      </c>
    </row>
    <row r="129" spans="2:25">
      <c r="C129" s="49" t="s">
        <v>607</v>
      </c>
      <c r="I129" s="49">
        <f>('Balance sheet'!M63+'Balance sheet'!M64+'Balance sheet'!L63+'Balance sheet'!L64)/2</f>
        <v>957.63000000000011</v>
      </c>
      <c r="J129" s="49">
        <f>('Balance sheet'!N63+'Balance sheet'!N64+'Balance sheet'!M63+'Balance sheet'!M64)/2</f>
        <v>1966.605</v>
      </c>
      <c r="K129" s="49">
        <f>('Balance sheet'!O63+'Balance sheet'!O64+'Balance sheet'!N63+'Balance sheet'!N64)/2</f>
        <v>2102.2799999999997</v>
      </c>
      <c r="L129" s="49">
        <f>('Balance sheet'!P63+'Balance sheet'!P64+'Balance sheet'!O63+'Balance sheet'!O64)/2</f>
        <v>2304.16</v>
      </c>
      <c r="M129" s="49">
        <f>('Balance sheet'!Q63+'Balance sheet'!Q64+'Balance sheet'!P63+'Balance sheet'!P64)/2</f>
        <v>2623.5250000000001</v>
      </c>
    </row>
    <row r="131" spans="2:25">
      <c r="B131" s="49" t="s">
        <v>609</v>
      </c>
      <c r="I131" s="49">
        <f>I121+I124-I127</f>
        <v>2.4585438686208221</v>
      </c>
      <c r="J131" s="49">
        <f t="shared" ref="J131:M131" si="117">J121+J124-J127</f>
        <v>9.2311995234770166</v>
      </c>
      <c r="K131" s="49">
        <f t="shared" si="117"/>
        <v>14.411686057367604</v>
      </c>
      <c r="L131" s="49">
        <f t="shared" si="117"/>
        <v>3.2925075421113092</v>
      </c>
      <c r="M131" s="49">
        <f t="shared" si="117"/>
        <v>-8.8869048029334294</v>
      </c>
    </row>
    <row r="132" spans="2:25" ht="28" thickBot="1">
      <c r="H132" s="50"/>
    </row>
    <row r="133" spans="2:25" ht="28" thickBot="1">
      <c r="B133" s="350" t="s">
        <v>518</v>
      </c>
      <c r="C133" s="150"/>
      <c r="D133" s="150"/>
      <c r="E133" s="150"/>
      <c r="F133" s="150"/>
      <c r="G133" s="150"/>
      <c r="H133" s="150"/>
      <c r="I133" s="150"/>
      <c r="J133" s="150"/>
      <c r="K133" s="150"/>
      <c r="L133" s="150"/>
      <c r="M133" s="151"/>
      <c r="O133" s="350"/>
      <c r="P133" s="150"/>
      <c r="Q133" s="150"/>
      <c r="R133" s="150"/>
      <c r="S133" s="150"/>
      <c r="T133" s="150"/>
      <c r="U133" s="150"/>
      <c r="V133" s="150"/>
      <c r="W133" s="150"/>
      <c r="X133" s="150"/>
      <c r="Y133" s="151"/>
    </row>
    <row r="134" spans="2:25">
      <c r="B134" s="376"/>
      <c r="C134" s="377" t="s">
        <v>112</v>
      </c>
      <c r="D134" s="377"/>
      <c r="E134" s="377"/>
      <c r="F134" s="377">
        <v>2018</v>
      </c>
      <c r="G134" s="377">
        <v>2019</v>
      </c>
      <c r="H134" s="377">
        <v>2020</v>
      </c>
      <c r="I134" s="377">
        <v>2021</v>
      </c>
      <c r="J134" s="377">
        <v>2022</v>
      </c>
      <c r="K134" s="377">
        <v>2023</v>
      </c>
      <c r="L134" s="377">
        <v>2024</v>
      </c>
      <c r="M134" s="378">
        <v>2025</v>
      </c>
      <c r="O134" s="376" t="s">
        <v>112</v>
      </c>
      <c r="P134" s="377"/>
      <c r="Q134" s="377"/>
      <c r="R134" s="377">
        <v>2018</v>
      </c>
      <c r="S134" s="377">
        <v>2019</v>
      </c>
      <c r="T134" s="377">
        <v>2020</v>
      </c>
      <c r="U134" s="377">
        <v>2021</v>
      </c>
      <c r="V134" s="377">
        <v>2022</v>
      </c>
      <c r="W134" s="377">
        <v>2023</v>
      </c>
      <c r="X134" s="377">
        <v>2024</v>
      </c>
      <c r="Y134" s="378">
        <v>2025</v>
      </c>
    </row>
    <row r="135" spans="2:25">
      <c r="B135" s="144"/>
      <c r="C135" s="49" t="s">
        <v>519</v>
      </c>
      <c r="F135" s="370">
        <v>176</v>
      </c>
      <c r="G135" s="370">
        <v>177</v>
      </c>
      <c r="H135" s="370">
        <v>177</v>
      </c>
      <c r="I135" s="370">
        <v>177</v>
      </c>
      <c r="J135" s="370">
        <v>177</v>
      </c>
      <c r="K135" s="370">
        <v>177</v>
      </c>
      <c r="L135" s="370">
        <v>177</v>
      </c>
      <c r="M135" s="373">
        <v>177</v>
      </c>
      <c r="O135" s="144"/>
      <c r="P135" s="49" t="s">
        <v>332</v>
      </c>
      <c r="R135" s="379">
        <v>1617</v>
      </c>
      <c r="S135" s="379">
        <v>1740</v>
      </c>
      <c r="T135" s="379">
        <v>1792</v>
      </c>
      <c r="U135" s="379">
        <v>2002</v>
      </c>
      <c r="V135" s="379">
        <v>2252</v>
      </c>
      <c r="W135" s="379">
        <v>2162</v>
      </c>
      <c r="X135" s="379">
        <v>2400</v>
      </c>
      <c r="Y135" s="380">
        <v>2316</v>
      </c>
    </row>
    <row r="136" spans="2:25">
      <c r="B136" s="144"/>
      <c r="C136" s="49" t="s">
        <v>520</v>
      </c>
      <c r="F136" s="370">
        <v>5530</v>
      </c>
      <c r="G136" s="370">
        <v>5455</v>
      </c>
      <c r="H136" s="370">
        <v>6429</v>
      </c>
      <c r="I136" s="370">
        <v>7487</v>
      </c>
      <c r="J136" s="370">
        <v>8205</v>
      </c>
      <c r="K136" s="370">
        <v>8796</v>
      </c>
      <c r="L136" s="370">
        <v>9689</v>
      </c>
      <c r="M136" s="373">
        <v>10623</v>
      </c>
      <c r="O136" s="144"/>
      <c r="P136" s="49" t="s">
        <v>226</v>
      </c>
      <c r="R136" s="379">
        <v>162</v>
      </c>
      <c r="S136" s="379">
        <v>177</v>
      </c>
      <c r="T136" s="379">
        <v>220</v>
      </c>
      <c r="U136" s="379">
        <v>240</v>
      </c>
      <c r="V136" s="379">
        <v>253</v>
      </c>
      <c r="W136" s="379">
        <v>311</v>
      </c>
      <c r="X136" s="379">
        <v>399</v>
      </c>
      <c r="Y136" s="380">
        <v>446</v>
      </c>
    </row>
    <row r="137" spans="2:25" ht="28" thickBot="1">
      <c r="B137" s="144"/>
      <c r="C137" s="49" t="s">
        <v>521</v>
      </c>
      <c r="F137" s="370">
        <v>364</v>
      </c>
      <c r="G137" s="370">
        <v>26</v>
      </c>
      <c r="H137" s="370">
        <v>163</v>
      </c>
      <c r="I137" s="370">
        <v>1</v>
      </c>
      <c r="J137" s="370">
        <v>250</v>
      </c>
      <c r="K137" s="370">
        <v>299</v>
      </c>
      <c r="L137" s="370">
        <v>536</v>
      </c>
      <c r="M137" s="373">
        <v>304</v>
      </c>
      <c r="O137" s="144"/>
      <c r="Y137" s="145"/>
    </row>
    <row r="138" spans="2:25" ht="28" thickBot="1">
      <c r="B138" s="339" t="s">
        <v>518</v>
      </c>
      <c r="C138" s="167"/>
      <c r="D138" s="167"/>
      <c r="E138" s="167"/>
      <c r="F138" s="389">
        <f>SUM(F135:F137)</f>
        <v>6070</v>
      </c>
      <c r="G138" s="389">
        <f t="shared" ref="G138:M138" si="118">SUM(G135:G137)</f>
        <v>5658</v>
      </c>
      <c r="H138" s="389">
        <f t="shared" si="118"/>
        <v>6769</v>
      </c>
      <c r="I138" s="389">
        <f t="shared" si="118"/>
        <v>7665</v>
      </c>
      <c r="J138" s="389">
        <f t="shared" si="118"/>
        <v>8632</v>
      </c>
      <c r="K138" s="389">
        <f t="shared" si="118"/>
        <v>9272</v>
      </c>
      <c r="L138" s="389">
        <f t="shared" si="118"/>
        <v>10402</v>
      </c>
      <c r="M138" s="390">
        <f t="shared" si="118"/>
        <v>11104</v>
      </c>
      <c r="O138" s="198" t="s">
        <v>496</v>
      </c>
      <c r="P138" s="141"/>
      <c r="Q138" s="141"/>
      <c r="R138" s="374">
        <f>R135-R136</f>
        <v>1455</v>
      </c>
      <c r="S138" s="374">
        <f t="shared" ref="S138:Y138" si="119">S135-S136</f>
        <v>1563</v>
      </c>
      <c r="T138" s="374">
        <f t="shared" si="119"/>
        <v>1572</v>
      </c>
      <c r="U138" s="374">
        <f t="shared" si="119"/>
        <v>1762</v>
      </c>
      <c r="V138" s="374">
        <f t="shared" si="119"/>
        <v>1999</v>
      </c>
      <c r="W138" s="374">
        <f t="shared" si="119"/>
        <v>1851</v>
      </c>
      <c r="X138" s="374">
        <f t="shared" si="119"/>
        <v>2001</v>
      </c>
      <c r="Y138" s="375">
        <f t="shared" si="119"/>
        <v>1870</v>
      </c>
    </row>
    <row r="139" spans="2:25" ht="28" thickBot="1">
      <c r="O139" s="160"/>
      <c r="P139" s="143" t="s">
        <v>203</v>
      </c>
      <c r="Q139" s="143"/>
      <c r="R139" s="382">
        <v>53</v>
      </c>
      <c r="S139" s="382">
        <v>60</v>
      </c>
      <c r="T139" s="382">
        <v>50</v>
      </c>
      <c r="U139" s="382">
        <v>31</v>
      </c>
      <c r="V139" s="382">
        <v>39</v>
      </c>
      <c r="W139" s="382">
        <v>78</v>
      </c>
      <c r="X139" s="382">
        <v>124</v>
      </c>
      <c r="Y139" s="383">
        <v>164</v>
      </c>
    </row>
    <row r="140" spans="2:25" ht="28" thickBot="1">
      <c r="O140" s="198" t="s">
        <v>526</v>
      </c>
      <c r="P140" s="141"/>
      <c r="Q140" s="141"/>
      <c r="R140" s="386">
        <f>R138-R139</f>
        <v>1402</v>
      </c>
      <c r="S140" s="386">
        <f t="shared" ref="S140:Y140" si="120">S138-S139</f>
        <v>1503</v>
      </c>
      <c r="T140" s="386">
        <f t="shared" si="120"/>
        <v>1522</v>
      </c>
      <c r="U140" s="386">
        <f t="shared" si="120"/>
        <v>1731</v>
      </c>
      <c r="V140" s="386">
        <f t="shared" si="120"/>
        <v>1960</v>
      </c>
      <c r="W140" s="386">
        <f t="shared" si="120"/>
        <v>1773</v>
      </c>
      <c r="X140" s="386">
        <f t="shared" si="120"/>
        <v>1877</v>
      </c>
      <c r="Y140" s="387">
        <f t="shared" si="120"/>
        <v>1706</v>
      </c>
    </row>
    <row r="141" spans="2:25" ht="28" thickBot="1">
      <c r="B141" s="350" t="s">
        <v>524</v>
      </c>
      <c r="C141" s="150"/>
      <c r="D141" s="150"/>
      <c r="E141" s="150"/>
      <c r="F141" s="150"/>
      <c r="G141" s="150"/>
      <c r="H141" s="150"/>
      <c r="I141" s="150"/>
      <c r="J141" s="150"/>
      <c r="K141" s="150"/>
      <c r="L141" s="150"/>
      <c r="M141" s="151"/>
      <c r="O141" s="144"/>
      <c r="P141" s="49" t="s">
        <v>256</v>
      </c>
      <c r="R141" s="384">
        <v>0.2</v>
      </c>
      <c r="S141" s="384">
        <v>0.16</v>
      </c>
      <c r="T141" s="384">
        <v>0.16</v>
      </c>
      <c r="U141" s="384">
        <v>0.18</v>
      </c>
      <c r="V141" s="384">
        <v>0.23</v>
      </c>
      <c r="W141" s="384">
        <v>0.23</v>
      </c>
      <c r="X141" s="384">
        <v>0.23</v>
      </c>
      <c r="Y141" s="385">
        <v>0.23</v>
      </c>
    </row>
    <row r="142" spans="2:25" ht="28" thickBot="1">
      <c r="B142" s="376"/>
      <c r="C142" s="377" t="s">
        <v>112</v>
      </c>
      <c r="D142" s="377"/>
      <c r="E142" s="377"/>
      <c r="F142" s="377">
        <v>2018</v>
      </c>
      <c r="G142" s="377">
        <v>2019</v>
      </c>
      <c r="H142" s="377">
        <v>2020</v>
      </c>
      <c r="I142" s="377">
        <v>2021</v>
      </c>
      <c r="J142" s="377">
        <v>2022</v>
      </c>
      <c r="K142" s="377">
        <v>2023</v>
      </c>
      <c r="L142" s="377">
        <v>2024</v>
      </c>
      <c r="M142" s="378">
        <v>2025</v>
      </c>
      <c r="O142" s="339" t="s">
        <v>514</v>
      </c>
      <c r="P142" s="167"/>
      <c r="Q142" s="167"/>
      <c r="R142" s="388">
        <f>R140-(R140*R141)</f>
        <v>1121.5999999999999</v>
      </c>
      <c r="S142" s="388">
        <f t="shared" ref="S142:Y142" si="121">S140-(S140*S141)</f>
        <v>1262.52</v>
      </c>
      <c r="T142" s="388">
        <f t="shared" si="121"/>
        <v>1278.48</v>
      </c>
      <c r="U142" s="388">
        <f t="shared" si="121"/>
        <v>1419.42</v>
      </c>
      <c r="V142" s="388">
        <f t="shared" si="121"/>
        <v>1509.2</v>
      </c>
      <c r="W142" s="388">
        <f t="shared" si="121"/>
        <v>1365.21</v>
      </c>
      <c r="X142" s="388">
        <f t="shared" si="121"/>
        <v>1445.29</v>
      </c>
      <c r="Y142" s="364">
        <f t="shared" si="121"/>
        <v>1313.62</v>
      </c>
    </row>
    <row r="143" spans="2:25">
      <c r="B143" s="144"/>
      <c r="C143" s="49" t="s">
        <v>522</v>
      </c>
      <c r="F143" s="370">
        <v>7732</v>
      </c>
      <c r="G143" s="370">
        <v>8702</v>
      </c>
      <c r="H143" s="370">
        <v>8437</v>
      </c>
      <c r="I143" s="370">
        <v>9337</v>
      </c>
      <c r="J143" s="370">
        <v>10833</v>
      </c>
      <c r="K143" s="370">
        <v>12284</v>
      </c>
      <c r="L143" s="370">
        <v>13652</v>
      </c>
      <c r="M143" s="381">
        <v>15116</v>
      </c>
    </row>
    <row r="144" spans="2:25">
      <c r="B144" s="144"/>
      <c r="C144" s="49" t="s">
        <v>523</v>
      </c>
      <c r="F144" s="370">
        <v>8702</v>
      </c>
      <c r="G144" s="370">
        <v>8437</v>
      </c>
      <c r="H144" s="370">
        <v>9337</v>
      </c>
      <c r="I144" s="370">
        <v>10833</v>
      </c>
      <c r="J144" s="370">
        <v>12284</v>
      </c>
      <c r="K144" s="370">
        <v>13652</v>
      </c>
      <c r="L144" s="370">
        <v>15116</v>
      </c>
      <c r="M144" s="373">
        <v>16230</v>
      </c>
    </row>
    <row r="145" spans="2:13" ht="28" thickBot="1">
      <c r="B145" s="144"/>
      <c r="F145" s="370"/>
      <c r="G145" s="370"/>
      <c r="H145" s="370"/>
      <c r="I145" s="370"/>
      <c r="J145" s="370"/>
      <c r="K145" s="370"/>
      <c r="L145" s="370"/>
      <c r="M145" s="373"/>
    </row>
    <row r="146" spans="2:13" ht="28" thickBot="1">
      <c r="B146" s="339" t="s">
        <v>524</v>
      </c>
      <c r="C146" s="167"/>
      <c r="D146" s="167"/>
      <c r="E146" s="167"/>
      <c r="F146" s="389">
        <f>(F143+F144)/2</f>
        <v>8217</v>
      </c>
      <c r="G146" s="389">
        <f t="shared" ref="G146:M146" si="122">(G143+G144)/2</f>
        <v>8569.5</v>
      </c>
      <c r="H146" s="389">
        <f t="shared" si="122"/>
        <v>8887</v>
      </c>
      <c r="I146" s="389">
        <f t="shared" si="122"/>
        <v>10085</v>
      </c>
      <c r="J146" s="389">
        <f t="shared" si="122"/>
        <v>11558.5</v>
      </c>
      <c r="K146" s="389">
        <f t="shared" si="122"/>
        <v>12968</v>
      </c>
      <c r="L146" s="389">
        <f t="shared" si="122"/>
        <v>14384</v>
      </c>
      <c r="M146" s="390">
        <f t="shared" si="122"/>
        <v>15673</v>
      </c>
    </row>
    <row r="147" spans="2:13" ht="28" thickBot="1"/>
    <row r="148" spans="2:13" ht="28" thickBot="1">
      <c r="B148" s="479" t="s">
        <v>530</v>
      </c>
      <c r="C148" s="480"/>
      <c r="D148" s="480"/>
      <c r="E148" s="480"/>
      <c r="F148" s="480"/>
      <c r="G148" s="480"/>
      <c r="H148" s="480"/>
      <c r="I148" s="480"/>
      <c r="J148" s="480"/>
      <c r="K148" s="480"/>
      <c r="L148" s="480"/>
      <c r="M148" s="481"/>
    </row>
    <row r="149" spans="2:13">
      <c r="B149" s="482"/>
      <c r="C149" s="377" t="s">
        <v>112</v>
      </c>
      <c r="D149" s="377"/>
      <c r="E149" s="377"/>
      <c r="F149" s="377">
        <v>2018</v>
      </c>
      <c r="G149" s="377">
        <v>2019</v>
      </c>
      <c r="H149" s="377">
        <v>2020</v>
      </c>
      <c r="I149" s="377">
        <v>2021</v>
      </c>
      <c r="J149" s="377">
        <v>2022</v>
      </c>
      <c r="K149" s="377">
        <v>2023</v>
      </c>
      <c r="L149" s="377">
        <v>2024</v>
      </c>
      <c r="M149" s="483">
        <v>2025</v>
      </c>
    </row>
    <row r="150" spans="2:13">
      <c r="B150" s="417"/>
      <c r="C150" s="49" t="s">
        <v>522</v>
      </c>
      <c r="F150" s="484">
        <v>1958</v>
      </c>
      <c r="G150" s="484">
        <v>2028</v>
      </c>
      <c r="H150" s="484">
        <v>1969</v>
      </c>
      <c r="I150" s="484">
        <v>2253</v>
      </c>
      <c r="J150" s="484">
        <v>2243</v>
      </c>
      <c r="K150" s="484">
        <v>2308</v>
      </c>
      <c r="L150" s="484">
        <v>3579</v>
      </c>
      <c r="M150" s="485">
        <v>3815</v>
      </c>
    </row>
    <row r="151" spans="2:13">
      <c r="B151" s="417"/>
      <c r="C151" s="49" t="s">
        <v>523</v>
      </c>
      <c r="F151" s="484">
        <v>2028</v>
      </c>
      <c r="G151" s="484">
        <v>1969</v>
      </c>
      <c r="H151" s="484">
        <v>2253</v>
      </c>
      <c r="I151" s="484">
        <v>2243</v>
      </c>
      <c r="J151" s="484">
        <v>2308</v>
      </c>
      <c r="K151" s="484">
        <v>3579</v>
      </c>
      <c r="L151" s="484">
        <v>3815</v>
      </c>
      <c r="M151" s="485">
        <v>3990</v>
      </c>
    </row>
    <row r="152" spans="2:13" ht="28" thickBot="1">
      <c r="B152" s="417"/>
      <c r="F152" s="370"/>
      <c r="G152" s="370"/>
      <c r="H152" s="370"/>
      <c r="I152" s="370"/>
      <c r="J152" s="370"/>
      <c r="K152" s="370"/>
      <c r="L152" s="370"/>
      <c r="M152" s="416"/>
    </row>
    <row r="153" spans="2:13" ht="28" thickBot="1">
      <c r="B153" s="486" t="s">
        <v>524</v>
      </c>
      <c r="C153" s="487"/>
      <c r="D153" s="487"/>
      <c r="E153" s="487"/>
      <c r="F153" s="488">
        <f>(F150+F151)/2</f>
        <v>1993</v>
      </c>
      <c r="G153" s="488">
        <f t="shared" ref="G153:M153" si="123">(G150+G151)/2</f>
        <v>1998.5</v>
      </c>
      <c r="H153" s="488">
        <f t="shared" si="123"/>
        <v>2111</v>
      </c>
      <c r="I153" s="488">
        <f t="shared" si="123"/>
        <v>2248</v>
      </c>
      <c r="J153" s="488">
        <f t="shared" si="123"/>
        <v>2275.5</v>
      </c>
      <c r="K153" s="488">
        <f t="shared" si="123"/>
        <v>2943.5</v>
      </c>
      <c r="L153" s="488">
        <f t="shared" si="123"/>
        <v>3697</v>
      </c>
      <c r="M153" s="489">
        <f t="shared" si="123"/>
        <v>3902.5</v>
      </c>
    </row>
    <row r="158" spans="2:13">
      <c r="B158" s="49" t="s">
        <v>533</v>
      </c>
      <c r="F158" s="490">
        <v>650</v>
      </c>
      <c r="G158" s="490">
        <v>706</v>
      </c>
      <c r="H158" s="490">
        <v>834</v>
      </c>
      <c r="I158" s="490">
        <v>814</v>
      </c>
      <c r="J158" s="490">
        <v>562</v>
      </c>
      <c r="K158" s="490">
        <v>646</v>
      </c>
      <c r="L158" s="490">
        <v>849</v>
      </c>
      <c r="M158" s="490">
        <v>899</v>
      </c>
    </row>
    <row r="159" spans="2:13">
      <c r="B159" s="49" t="s">
        <v>531</v>
      </c>
      <c r="F159" s="413">
        <v>-60</v>
      </c>
      <c r="G159" s="413">
        <v>-130</v>
      </c>
      <c r="H159" s="413">
        <v>14</v>
      </c>
      <c r="I159" s="413">
        <v>248</v>
      </c>
      <c r="J159" s="413">
        <v>-78</v>
      </c>
      <c r="K159" s="413">
        <v>-191</v>
      </c>
      <c r="L159" s="413">
        <v>-55</v>
      </c>
      <c r="M159" s="413">
        <v>12</v>
      </c>
    </row>
    <row r="160" spans="2:13">
      <c r="B160" s="49" t="s">
        <v>532</v>
      </c>
      <c r="F160" s="490">
        <v>706</v>
      </c>
      <c r="G160" s="490">
        <v>834</v>
      </c>
      <c r="H160" s="490">
        <v>814</v>
      </c>
      <c r="I160" s="490">
        <v>562</v>
      </c>
      <c r="J160" s="490">
        <v>646</v>
      </c>
      <c r="K160" s="490">
        <v>849</v>
      </c>
      <c r="L160" s="490">
        <v>899</v>
      </c>
      <c r="M160" s="490">
        <v>888</v>
      </c>
    </row>
  </sheetData>
  <pageMargins left="0.7" right="0.7" top="0.75" bottom="0.75" header="0.3" footer="0.3"/>
  <pageSetup paperSize="9" orientation="portrait" horizontalDpi="0" verticalDpi="0"/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 displayXAxis="1" xr2:uid="{45521A76-0FDF-FE4E-B072-98A39706302E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RATIOS!F5:M5</xm:f>
              <xm:sqref>N5</xm:sqref>
            </x14:sparkline>
          </x14:sparklines>
        </x14:sparklineGroup>
        <x14:sparklineGroup displayEmptyCellsAs="gap" markers="1" displayXAxis="1" xr2:uid="{EEFDA149-F9FA-7F4A-8376-5EEA67BF6B73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RATIOS!F16:M16</xm:f>
              <xm:sqref>N16</xm:sqref>
            </x14:sparkline>
          </x14:sparklines>
        </x14:sparklineGroup>
        <x14:sparklineGroup displayEmptyCellsAs="gap" markers="1" displayXAxis="1" xr2:uid="{E4F5937B-A728-6843-A4D2-B15043546254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RATIOS!F76:M76</xm:f>
              <xm:sqref>N76</xm:sqref>
            </x14:sparkline>
          </x14:sparklines>
        </x14:sparklineGroup>
        <x14:sparklineGroup displayEmptyCellsAs="gap" markers="1" displayXAxis="1" xr2:uid="{711D1FFE-65C1-F040-BF64-3A7CE52AA253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RATIOS!F71:M71</xm:f>
              <xm:sqref>N71</xm:sqref>
            </x14:sparkline>
          </x14:sparklines>
        </x14:sparklineGroup>
        <x14:sparklineGroup displayEmptyCellsAs="gap" markers="1" displayXAxis="1" xr2:uid="{911B07EB-235F-AC44-B246-03010A93C2E3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RATIOS!F52:M52</xm:f>
              <xm:sqref>N52</xm:sqref>
            </x14:sparkline>
          </x14:sparklines>
        </x14:sparklineGroup>
        <x14:sparklineGroup displayEmptyCellsAs="gap" markers="1" displayXAxis="1" xr2:uid="{86E4BD47-C122-4548-8A8C-068AFFB1BC03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RATIOS!F47:M47</xm:f>
              <xm:sqref>N47</xm:sqref>
            </x14:sparkline>
          </x14:sparklines>
        </x14:sparklineGroup>
        <x14:sparklineGroup displayEmptyCellsAs="gap" markers="1" displayXAxis="1" xr2:uid="{27FCA006-0604-7E4D-B7F7-D621BD056788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RATIOS!F42:M42</xm:f>
              <xm:sqref>N42</xm:sqref>
            </x14:sparkline>
          </x14:sparklines>
        </x14:sparklineGroup>
        <x14:sparklineGroup displayEmptyCellsAs="gap" markers="1" displayXAxis="1" xr2:uid="{68908303-7A26-364E-A8C7-2E598713AE90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RATIOS!F64:M64</xm:f>
              <xm:sqref>N64</xm:sqref>
            </x14:sparkline>
          </x14:sparklines>
        </x14:sparklineGroup>
        <x14:sparklineGroup displayEmptyCellsAs="gap" markers="1" displayXAxis="1" xr2:uid="{842F6207-B871-4E42-97ED-874AFE42F6FE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RATIOS!F81:M81</xm:f>
              <xm:sqref>N81</xm:sqref>
            </x14:sparkline>
          </x14:sparklines>
        </x14:sparklineGroup>
        <x14:sparklineGroup displayEmptyCellsAs="gap" markers="1" displayXAxis="1" xr2:uid="{0EA3AB80-1632-9347-8CD9-51BF2F8B4BB9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RATIOS!F58:M58</xm:f>
              <xm:sqref>N58</xm:sqref>
            </x14:sparkline>
          </x14:sparklines>
        </x14:sparklineGroup>
        <x14:sparklineGroup displayEmptyCellsAs="gap" markers="1" displayXAxis="1" xr2:uid="{DECFD041-9466-5542-81E2-458DEB33C35C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RATIOS!F37:M37</xm:f>
              <xm:sqref>N37</xm:sqref>
            </x14:sparkline>
          </x14:sparklines>
        </x14:sparklineGroup>
        <x14:sparklineGroup displayEmptyCellsAs="gap" markers="1" displayXAxis="1" xr2:uid="{B53742E9-C100-6442-A52D-A1952EE74FE2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RATIOS!F32:M32</xm:f>
              <xm:sqref>N32</xm:sqref>
            </x14:sparkline>
          </x14:sparklines>
        </x14:sparklineGroup>
        <x14:sparklineGroup displayEmptyCellsAs="gap" markers="1" xr2:uid="{6C2BA33C-8F0A-734A-AE35-A01A9481FF51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RATIOS!F33:M33</xm:f>
              <xm:sqref>N33</xm:sqref>
            </x14:sparkline>
          </x14:sparklines>
        </x14:sparklineGroup>
        <x14:sparklineGroup displayEmptyCellsAs="gap" markers="1" displayXAxis="1" xr2:uid="{AF2D1E6E-87B3-874E-A8E8-F15EB6F3F840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RATIOS!F25:M25</xm:f>
              <xm:sqref>N25</xm:sqref>
            </x14:sparkline>
          </x14:sparklines>
        </x14:sparklineGroup>
        <x14:sparklineGroup displayEmptyCellsAs="gap" markers="1" displayXAxis="1" xr2:uid="{C7B2CAFB-11D1-1F41-BEC0-3178B0D559CB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RATIOS!F18:M18</xm:f>
              <xm:sqref>N18</xm:sqref>
            </x14:sparkline>
          </x14:sparklines>
        </x14:sparklineGroup>
        <x14:sparklineGroup displayEmptyCellsAs="gap" markers="1" xr2:uid="{D3BCC438-A152-6C40-82FE-E342DA01F412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RATIOS!F10:M10</xm:f>
              <xm:sqref>N10</xm:sqref>
            </x14:sparkline>
          </x14:sparklines>
        </x14:sparklineGroup>
        <x14:sparklineGroup displayEmptyCellsAs="gap" markers="1" xr2:uid="{D706753C-F5FD-294A-91C9-1388B70B305F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RATIOS!F93:M93</xm:f>
              <xm:sqref>N93</xm:sqref>
            </x14:sparkline>
          </x14:sparklines>
        </x14:sparklineGroup>
        <x14:sparklineGroup displayEmptyCellsAs="gap" markers="1" xr2:uid="{85F1E8A0-9DF6-8E42-8C05-10BA3E3FE97F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RATIOS!F87:M87</xm:f>
              <xm:sqref>N87</xm:sqref>
            </x14:sparkline>
          </x14:sparklines>
        </x14:sparklineGroup>
        <x14:sparklineGroup displayEmptyCellsAs="gap" markers="1" xr2:uid="{7D7483FF-8250-F143-9815-1706892034E2}">
          <x14:colorSeries theme="3" tint="0.249977111117893"/>
          <x14:colorNegative rgb="FFD00000"/>
          <x14:colorAxis rgb="FF000000"/>
          <x14:colorMarkers theme="4" tint="-0.249977111117893"/>
          <x14:colorFirst rgb="FFD00000"/>
          <x14:colorLast rgb="FFD00000"/>
          <x14:colorHigh rgb="FFD00000"/>
          <x14:colorLow rgb="FFD00000"/>
          <x14:sparklines>
            <x14:sparkline>
              <xm:f>RATIOS!F100:M100</xm:f>
              <xm:sqref>N100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7A7B1-16CE-4A4B-AE68-B274F1648983}">
  <sheetPr codeName="Sheet21">
    <tabColor theme="3" tint="0.89999084444715716"/>
  </sheetPr>
  <dimension ref="B2:M111"/>
  <sheetViews>
    <sheetView workbookViewId="0">
      <selection activeCell="F17" sqref="F17"/>
    </sheetView>
  </sheetViews>
  <sheetFormatPr baseColWidth="10" defaultRowHeight="16"/>
  <cols>
    <col min="2" max="2" width="16.5" bestFit="1" customWidth="1"/>
    <col min="3" max="3" width="25.83203125" customWidth="1"/>
    <col min="4" max="4" width="28.6640625" bestFit="1" customWidth="1"/>
    <col min="5" max="5" width="28.5" bestFit="1" customWidth="1"/>
  </cols>
  <sheetData>
    <row r="2" spans="2:11">
      <c r="B2" t="s">
        <v>696</v>
      </c>
      <c r="C2" t="s">
        <v>698</v>
      </c>
      <c r="D2" t="s">
        <v>697</v>
      </c>
      <c r="E2" s="674" t="s">
        <v>699</v>
      </c>
      <c r="F2" t="s">
        <v>763</v>
      </c>
      <c r="G2">
        <f>'Balance sheet'!M48</f>
        <v>7700.2199999999993</v>
      </c>
      <c r="H2">
        <f>'Balance sheet'!N48</f>
        <v>8421.85</v>
      </c>
      <c r="I2">
        <f>'Balance sheet'!O48</f>
        <v>9441.43</v>
      </c>
      <c r="J2">
        <f>'Balance sheet'!P48</f>
        <v>10303.08</v>
      </c>
      <c r="K2">
        <f>'Balance sheet'!Q48</f>
        <v>11210.26</v>
      </c>
    </row>
    <row r="3" spans="2:11">
      <c r="B3">
        <v>2021</v>
      </c>
      <c r="C3">
        <v>540</v>
      </c>
      <c r="D3">
        <v>176.74</v>
      </c>
      <c r="E3">
        <f>C3*D3</f>
        <v>95439.6</v>
      </c>
      <c r="F3" t="s">
        <v>764</v>
      </c>
      <c r="G3">
        <f>D3</f>
        <v>176.74</v>
      </c>
      <c r="H3">
        <f>D4</f>
        <v>176.94</v>
      </c>
      <c r="I3">
        <f>D5</f>
        <v>177.2</v>
      </c>
      <c r="J3">
        <f>D6</f>
        <v>177.2</v>
      </c>
      <c r="K3">
        <f>D7</f>
        <v>177.2</v>
      </c>
    </row>
    <row r="4" spans="2:11">
      <c r="B4">
        <v>2022</v>
      </c>
      <c r="C4">
        <v>536</v>
      </c>
      <c r="D4">
        <v>176.94</v>
      </c>
      <c r="E4" s="673">
        <f t="shared" ref="E4:E7" si="0">C4*D4</f>
        <v>94839.84</v>
      </c>
      <c r="F4" t="s">
        <v>765</v>
      </c>
      <c r="G4" s="676">
        <f>G2/G3</f>
        <v>43.568066085775712</v>
      </c>
      <c r="H4" s="676">
        <f t="shared" ref="H4:K4" si="1">H2/H3</f>
        <v>47.597208093138917</v>
      </c>
      <c r="I4" s="676">
        <f t="shared" si="1"/>
        <v>53.281207674943573</v>
      </c>
      <c r="J4" s="676">
        <f t="shared" si="1"/>
        <v>58.143792325056438</v>
      </c>
      <c r="K4" s="676">
        <f t="shared" si="1"/>
        <v>63.263318284424386</v>
      </c>
    </row>
    <row r="5" spans="2:11">
      <c r="B5">
        <v>2023</v>
      </c>
      <c r="C5">
        <v>544</v>
      </c>
      <c r="D5">
        <v>177.2</v>
      </c>
      <c r="E5">
        <f t="shared" si="0"/>
        <v>96396.799999999988</v>
      </c>
      <c r="F5" t="s">
        <v>766</v>
      </c>
      <c r="G5">
        <f>C3</f>
        <v>540</v>
      </c>
      <c r="H5">
        <f>C4</f>
        <v>536</v>
      </c>
      <c r="I5">
        <f>C5</f>
        <v>544</v>
      </c>
      <c r="J5">
        <f>C6</f>
        <v>523</v>
      </c>
      <c r="K5">
        <f>C7</f>
        <v>506</v>
      </c>
    </row>
    <row r="6" spans="2:11">
      <c r="B6">
        <v>2024</v>
      </c>
      <c r="C6">
        <v>523</v>
      </c>
      <c r="D6">
        <v>177.2</v>
      </c>
      <c r="E6">
        <f t="shared" si="0"/>
        <v>92675.599999999991</v>
      </c>
      <c r="F6" t="s">
        <v>767</v>
      </c>
      <c r="G6" s="685">
        <f>G5/G4</f>
        <v>12.394399121064074</v>
      </c>
      <c r="H6" s="685">
        <f t="shared" ref="H6:K6" si="2">H5/H4</f>
        <v>11.261164708466668</v>
      </c>
      <c r="I6" s="685">
        <f t="shared" si="2"/>
        <v>10.209978784993373</v>
      </c>
      <c r="J6" s="685">
        <f t="shared" si="2"/>
        <v>8.9949413185183449</v>
      </c>
      <c r="K6" s="685">
        <f t="shared" si="2"/>
        <v>7.9983158285356444</v>
      </c>
    </row>
    <row r="7" spans="2:11">
      <c r="B7">
        <v>2025</v>
      </c>
      <c r="C7">
        <v>506</v>
      </c>
      <c r="D7">
        <v>177.2</v>
      </c>
      <c r="E7">
        <f t="shared" si="0"/>
        <v>89663.2</v>
      </c>
    </row>
    <row r="10" spans="2:11">
      <c r="B10" s="570" t="s">
        <v>700</v>
      </c>
      <c r="C10" s="570" t="s">
        <v>701</v>
      </c>
      <c r="D10" s="675" t="s">
        <v>702</v>
      </c>
      <c r="E10" s="570" t="s">
        <v>703</v>
      </c>
      <c r="F10" s="570" t="s">
        <v>768</v>
      </c>
    </row>
    <row r="11" spans="2:11">
      <c r="B11" t="s">
        <v>704</v>
      </c>
      <c r="C11" s="676">
        <v>21.779399999999999</v>
      </c>
      <c r="D11" s="569">
        <v>0.12280000000000001</v>
      </c>
      <c r="E11" t="s">
        <v>705</v>
      </c>
      <c r="F11" t="s">
        <v>769</v>
      </c>
      <c r="G11">
        <f>D3*C3</f>
        <v>95439.6</v>
      </c>
      <c r="H11">
        <v>94839.84</v>
      </c>
      <c r="I11">
        <v>96396.799999999988</v>
      </c>
      <c r="J11">
        <v>92675.599999999991</v>
      </c>
      <c r="K11">
        <v>89663.2</v>
      </c>
    </row>
    <row r="12" spans="2:11">
      <c r="B12" t="s">
        <v>706</v>
      </c>
      <c r="C12" s="676">
        <v>20.938379999999999</v>
      </c>
      <c r="D12" s="569">
        <v>0.1179</v>
      </c>
      <c r="E12" t="s">
        <v>707</v>
      </c>
      <c r="F12" t="s">
        <v>770</v>
      </c>
      <c r="G12">
        <f>'Balance sheet'!$M$52+'Balance sheet'!$M$53+'Balance sheet'!$M$60+'Balance sheet'!$M$61</f>
        <v>483.27</v>
      </c>
      <c r="H12">
        <f>'Balance sheet'!$M$52+'Balance sheet'!$M$53+'Balance sheet'!$M$60+'Balance sheet'!$M$61</f>
        <v>483.27</v>
      </c>
      <c r="I12">
        <f>'Balance sheet'!$M$52+'Balance sheet'!$M$53+'Balance sheet'!$M$60+'Balance sheet'!$M$61</f>
        <v>483.27</v>
      </c>
      <c r="J12">
        <f>'Balance sheet'!$M$52+'Balance sheet'!$M$53+'Balance sheet'!$M$60+'Balance sheet'!$M$61</f>
        <v>483.27</v>
      </c>
      <c r="K12">
        <f>'Balance sheet'!$M$52+'Balance sheet'!$M$53+'Balance sheet'!$M$60+'Balance sheet'!$M$61</f>
        <v>483.27</v>
      </c>
    </row>
    <row r="13" spans="2:11">
      <c r="B13" t="s">
        <v>708</v>
      </c>
      <c r="C13" s="676">
        <v>19.337997999999999</v>
      </c>
      <c r="D13" s="569">
        <v>0.109</v>
      </c>
      <c r="E13" t="s">
        <v>709</v>
      </c>
      <c r="F13" t="s">
        <v>771</v>
      </c>
      <c r="G13">
        <f>'Balance sheet'!$M$47</f>
        <v>36.69</v>
      </c>
      <c r="H13">
        <f>'Balance sheet'!$M$47</f>
        <v>36.69</v>
      </c>
      <c r="I13">
        <f>'Balance sheet'!$M$47</f>
        <v>36.69</v>
      </c>
      <c r="J13">
        <f>'Balance sheet'!$M$47</f>
        <v>36.69</v>
      </c>
      <c r="K13">
        <f>'Balance sheet'!$M$47</f>
        <v>36.69</v>
      </c>
    </row>
    <row r="14" spans="2:11">
      <c r="B14" t="s">
        <v>710</v>
      </c>
      <c r="C14" s="676">
        <v>18.921199999999999</v>
      </c>
      <c r="D14" s="569">
        <v>0.1067</v>
      </c>
      <c r="E14" t="s">
        <v>711</v>
      </c>
      <c r="F14" t="s">
        <v>772</v>
      </c>
      <c r="G14">
        <f>'Balance sheet'!$M$33</f>
        <v>241.23</v>
      </c>
      <c r="H14">
        <f>'Balance sheet'!$M$33</f>
        <v>241.23</v>
      </c>
      <c r="I14">
        <f>'Balance sheet'!$M$33</f>
        <v>241.23</v>
      </c>
      <c r="J14">
        <f>'Balance sheet'!$M$33</f>
        <v>241.23</v>
      </c>
      <c r="K14">
        <f>'Balance sheet'!$M$33</f>
        <v>241.23</v>
      </c>
    </row>
    <row r="15" spans="2:11">
      <c r="B15" t="s">
        <v>712</v>
      </c>
      <c r="C15" s="676">
        <v>15.895560400000001</v>
      </c>
      <c r="D15" s="569">
        <v>8.9700000000000002E-2</v>
      </c>
      <c r="E15" t="s">
        <v>713</v>
      </c>
    </row>
    <row r="16" spans="2:11">
      <c r="B16" t="s">
        <v>714</v>
      </c>
      <c r="C16" s="676">
        <v>10.614750300000001</v>
      </c>
      <c r="D16" s="569">
        <v>5.9799999999999999E-2</v>
      </c>
      <c r="E16" t="s">
        <v>715</v>
      </c>
      <c r="F16" s="688" t="s">
        <v>768</v>
      </c>
      <c r="G16" s="688">
        <f>G11+G12+G13-G14</f>
        <v>95718.330000000016</v>
      </c>
      <c r="H16" s="688">
        <f t="shared" ref="H16:K16" si="3">H11+H12+H13-H14</f>
        <v>95118.57</v>
      </c>
      <c r="I16" s="688">
        <f t="shared" si="3"/>
        <v>96675.53</v>
      </c>
      <c r="J16" s="688">
        <f t="shared" si="3"/>
        <v>92954.33</v>
      </c>
      <c r="K16" s="688">
        <f t="shared" si="3"/>
        <v>89941.930000000008</v>
      </c>
    </row>
    <row r="17" spans="2:5">
      <c r="B17" t="s">
        <v>677</v>
      </c>
      <c r="C17" s="676">
        <v>8.9035650000000004</v>
      </c>
      <c r="D17" s="569">
        <v>5.0200000000000002E-2</v>
      </c>
      <c r="E17" t="s">
        <v>716</v>
      </c>
    </row>
    <row r="18" spans="2:5">
      <c r="B18" t="s">
        <v>717</v>
      </c>
      <c r="C18" s="676">
        <v>5.3012986</v>
      </c>
      <c r="D18" s="569">
        <v>2.9899999999999999E-2</v>
      </c>
      <c r="E18" t="s">
        <v>718</v>
      </c>
    </row>
    <row r="19" spans="2:5">
      <c r="B19" t="s">
        <v>719</v>
      </c>
      <c r="C19" s="676">
        <v>3.2972399999999999</v>
      </c>
      <c r="D19" s="569">
        <v>1.8599999999999998E-2</v>
      </c>
      <c r="E19" t="s">
        <v>720</v>
      </c>
    </row>
    <row r="20" spans="2:5">
      <c r="B20" t="s">
        <v>721</v>
      </c>
      <c r="C20" s="676">
        <v>3.1722028</v>
      </c>
      <c r="D20" s="569">
        <v>1.7899999999999999E-2</v>
      </c>
      <c r="E20" t="s">
        <v>722</v>
      </c>
    </row>
    <row r="23" spans="2:5">
      <c r="B23" s="570" t="s">
        <v>723</v>
      </c>
      <c r="C23" s="570" t="s">
        <v>679</v>
      </c>
      <c r="D23" s="570" t="s">
        <v>724</v>
      </c>
      <c r="E23" s="570" t="s">
        <v>725</v>
      </c>
    </row>
    <row r="24" spans="2:5">
      <c r="B24" t="s">
        <v>726</v>
      </c>
      <c r="C24" t="s">
        <v>727</v>
      </c>
      <c r="D24">
        <v>14.43</v>
      </c>
      <c r="E24" t="s">
        <v>728</v>
      </c>
    </row>
    <row r="25" spans="2:5">
      <c r="B25" t="s">
        <v>729</v>
      </c>
      <c r="C25" t="s">
        <v>730</v>
      </c>
      <c r="D25">
        <v>1.9</v>
      </c>
      <c r="E25" t="s">
        <v>731</v>
      </c>
    </row>
    <row r="26" spans="2:5">
      <c r="B26" t="s">
        <v>732</v>
      </c>
      <c r="C26" t="s">
        <v>733</v>
      </c>
      <c r="D26">
        <v>8.08</v>
      </c>
      <c r="E26" t="s">
        <v>734</v>
      </c>
    </row>
    <row r="27" spans="2:5">
      <c r="B27" t="s">
        <v>735</v>
      </c>
      <c r="C27" t="s">
        <v>733</v>
      </c>
      <c r="D27">
        <v>5.92</v>
      </c>
      <c r="E27" t="s">
        <v>736</v>
      </c>
    </row>
    <row r="28" spans="2:5">
      <c r="B28" t="s">
        <v>737</v>
      </c>
      <c r="C28" t="s">
        <v>738</v>
      </c>
      <c r="D28">
        <v>3.17</v>
      </c>
      <c r="E28" t="s">
        <v>739</v>
      </c>
    </row>
    <row r="29" spans="2:5">
      <c r="B29" t="s">
        <v>740</v>
      </c>
      <c r="C29" t="s">
        <v>741</v>
      </c>
      <c r="D29">
        <v>3.35</v>
      </c>
      <c r="E29" t="s">
        <v>742</v>
      </c>
    </row>
    <row r="30" spans="2:5">
      <c r="B30" t="s">
        <v>743</v>
      </c>
      <c r="C30" t="s">
        <v>744</v>
      </c>
      <c r="D30">
        <v>2.99</v>
      </c>
      <c r="E30" t="s">
        <v>745</v>
      </c>
    </row>
    <row r="31" spans="2:5">
      <c r="B31" t="s">
        <v>746</v>
      </c>
      <c r="C31" t="s">
        <v>747</v>
      </c>
      <c r="D31">
        <v>1.21</v>
      </c>
      <c r="E31" t="s">
        <v>748</v>
      </c>
    </row>
    <row r="35" spans="2:13">
      <c r="B35" s="674"/>
    </row>
    <row r="36" spans="2:13" ht="17">
      <c r="B36" s="680"/>
      <c r="C36" s="681"/>
      <c r="D36" s="681"/>
      <c r="E36" s="681"/>
      <c r="F36" s="681"/>
      <c r="G36" s="681"/>
      <c r="H36" s="681"/>
      <c r="I36" s="681"/>
      <c r="J36" s="681"/>
      <c r="K36" s="681"/>
      <c r="L36" s="681"/>
      <c r="M36" s="681"/>
    </row>
    <row r="37" spans="2:13" ht="17">
      <c r="B37" s="680"/>
      <c r="C37" s="681"/>
      <c r="D37" s="681"/>
      <c r="E37" s="681"/>
      <c r="F37" s="681"/>
      <c r="G37" s="681"/>
      <c r="H37" s="681"/>
      <c r="I37" s="681"/>
      <c r="J37" s="681"/>
      <c r="K37" s="681"/>
      <c r="L37" s="681"/>
      <c r="M37" s="681"/>
    </row>
    <row r="38" spans="2:13" ht="17">
      <c r="B38" s="680"/>
      <c r="C38" s="681"/>
      <c r="D38" s="681"/>
      <c r="E38" s="681"/>
      <c r="F38" s="681"/>
      <c r="G38" s="681"/>
      <c r="H38" s="681"/>
      <c r="I38" s="681"/>
      <c r="J38" s="681"/>
      <c r="K38" s="681"/>
      <c r="L38" s="681"/>
      <c r="M38" s="681"/>
    </row>
    <row r="39" spans="2:13" ht="17">
      <c r="B39" s="680"/>
      <c r="C39" s="681"/>
      <c r="D39" s="681"/>
      <c r="E39" s="681"/>
      <c r="F39" s="681"/>
      <c r="G39" s="681"/>
      <c r="H39" s="681"/>
      <c r="I39" s="681"/>
      <c r="J39" s="681"/>
      <c r="K39" s="681"/>
      <c r="L39" s="681"/>
      <c r="M39" s="681"/>
    </row>
    <row r="40" spans="2:13" ht="17">
      <c r="B40" s="680"/>
      <c r="C40" s="681"/>
      <c r="D40" s="681"/>
      <c r="E40" s="681"/>
      <c r="F40" s="681"/>
      <c r="G40" s="681"/>
      <c r="H40" s="681"/>
      <c r="I40" s="681"/>
      <c r="J40" s="681"/>
      <c r="K40" s="681"/>
      <c r="L40" s="681"/>
      <c r="M40" s="681"/>
    </row>
    <row r="41" spans="2:13" ht="17">
      <c r="B41" s="680"/>
      <c r="C41" s="681"/>
      <c r="D41" s="681"/>
      <c r="E41" s="681"/>
      <c r="F41" s="681"/>
      <c r="G41" s="681"/>
      <c r="H41" s="681"/>
      <c r="I41" s="681"/>
      <c r="J41" s="681"/>
      <c r="K41" s="681"/>
      <c r="L41" s="681"/>
      <c r="M41" s="681"/>
    </row>
    <row r="42" spans="2:13" ht="17">
      <c r="B42" s="680"/>
      <c r="C42" s="681"/>
      <c r="D42" s="681"/>
      <c r="E42" s="681"/>
      <c r="F42" s="681"/>
      <c r="G42" s="681"/>
      <c r="H42" s="681"/>
      <c r="I42" s="681"/>
      <c r="J42" s="681"/>
      <c r="K42" s="681"/>
      <c r="L42" s="681"/>
      <c r="M42" s="681"/>
    </row>
    <row r="43" spans="2:13" ht="17">
      <c r="B43" s="680"/>
      <c r="C43" s="681"/>
      <c r="D43" s="681"/>
      <c r="E43" s="681"/>
      <c r="F43" s="681"/>
      <c r="G43" s="681"/>
      <c r="H43" s="681"/>
      <c r="I43" s="681"/>
      <c r="J43" s="681"/>
      <c r="K43" s="681"/>
      <c r="L43" s="681"/>
      <c r="M43" s="681"/>
    </row>
    <row r="44" spans="2:13" ht="17">
      <c r="B44" s="680"/>
      <c r="C44" s="681"/>
      <c r="D44" s="681"/>
      <c r="E44" s="681"/>
      <c r="F44" s="681"/>
      <c r="G44" s="681"/>
      <c r="H44" s="681"/>
      <c r="I44" s="681"/>
      <c r="J44" s="681"/>
      <c r="K44" s="681"/>
      <c r="L44" s="681"/>
      <c r="M44" s="681"/>
    </row>
    <row r="45" spans="2:13" ht="17">
      <c r="B45" s="680"/>
      <c r="C45" s="681"/>
      <c r="D45" s="681"/>
      <c r="E45" s="681"/>
      <c r="F45" s="681"/>
      <c r="G45" s="681"/>
      <c r="H45" s="681"/>
      <c r="I45" s="681"/>
      <c r="J45" s="681"/>
      <c r="K45" s="681"/>
      <c r="L45" s="681"/>
      <c r="M45" s="681"/>
    </row>
    <row r="46" spans="2:13" ht="17">
      <c r="B46" s="680"/>
      <c r="C46" s="681"/>
      <c r="D46" s="681"/>
      <c r="E46" s="681"/>
      <c r="F46" s="681"/>
      <c r="G46" s="681"/>
      <c r="H46" s="681"/>
      <c r="I46" s="681"/>
      <c r="J46" s="681"/>
      <c r="K46" s="681"/>
      <c r="L46" s="681"/>
      <c r="M46" s="681"/>
    </row>
    <row r="47" spans="2:13" ht="17">
      <c r="B47" s="680"/>
      <c r="C47" s="681"/>
      <c r="D47" s="681"/>
      <c r="E47" s="681"/>
      <c r="F47" s="681"/>
      <c r="G47" s="681"/>
      <c r="H47" s="681"/>
      <c r="I47" s="681"/>
      <c r="J47" s="681"/>
      <c r="K47" s="681"/>
      <c r="L47" s="681"/>
      <c r="M47" s="681"/>
    </row>
    <row r="48" spans="2:13" ht="17">
      <c r="B48" s="680"/>
      <c r="C48" s="681"/>
      <c r="D48" s="681"/>
      <c r="E48" s="681"/>
      <c r="F48" s="681"/>
      <c r="G48" s="681"/>
      <c r="H48" s="681"/>
      <c r="I48" s="681"/>
      <c r="J48" s="681"/>
      <c r="K48" s="681"/>
      <c r="L48" s="681"/>
      <c r="M48" s="681"/>
    </row>
    <row r="49" spans="2:13">
      <c r="B49" s="707"/>
      <c r="C49" s="707"/>
      <c r="D49" s="707"/>
      <c r="E49" s="707"/>
      <c r="F49" s="707"/>
      <c r="G49" s="707"/>
      <c r="H49" s="707"/>
      <c r="I49" s="707"/>
      <c r="J49" s="707"/>
      <c r="K49" s="707"/>
      <c r="L49" s="707"/>
      <c r="M49" s="707"/>
    </row>
    <row r="50" spans="2:13">
      <c r="B50" s="707"/>
      <c r="C50" s="707"/>
      <c r="D50" s="707"/>
      <c r="E50" s="707"/>
      <c r="F50" s="707"/>
      <c r="G50" s="707"/>
      <c r="H50" s="707"/>
      <c r="I50" s="707"/>
      <c r="J50" s="707"/>
      <c r="K50" s="707"/>
      <c r="L50" s="707"/>
      <c r="M50" s="707"/>
    </row>
    <row r="51" spans="2:13" ht="17">
      <c r="B51" s="708"/>
      <c r="C51" s="708"/>
      <c r="D51" s="708"/>
      <c r="E51" s="708"/>
      <c r="F51" s="708"/>
      <c r="G51" s="708"/>
      <c r="H51" s="708"/>
      <c r="I51" s="708"/>
      <c r="J51" s="708"/>
      <c r="K51" s="708"/>
      <c r="L51" s="708"/>
      <c r="M51" s="708"/>
    </row>
    <row r="54" spans="2:13">
      <c r="B54" s="682" t="s">
        <v>761</v>
      </c>
      <c r="C54" s="682" t="s">
        <v>762</v>
      </c>
    </row>
    <row r="55" spans="2:13">
      <c r="B55" s="683">
        <v>44197</v>
      </c>
      <c r="C55" s="684">
        <v>515.25</v>
      </c>
    </row>
    <row r="56" spans="2:13">
      <c r="B56" s="683">
        <v>44228</v>
      </c>
      <c r="C56" s="684">
        <v>503.35</v>
      </c>
    </row>
    <row r="57" spans="2:13">
      <c r="B57" s="683">
        <v>44256</v>
      </c>
      <c r="C57" s="684">
        <v>540.70000000000005</v>
      </c>
    </row>
    <row r="58" spans="2:13">
      <c r="B58" s="683">
        <v>44287</v>
      </c>
      <c r="C58" s="684">
        <v>538.45000000000005</v>
      </c>
    </row>
    <row r="59" spans="2:13">
      <c r="B59" s="683">
        <v>44317</v>
      </c>
      <c r="C59" s="684">
        <v>540.4</v>
      </c>
    </row>
    <row r="60" spans="2:13">
      <c r="B60" s="683">
        <v>44348</v>
      </c>
      <c r="C60" s="684">
        <v>568.79999999999995</v>
      </c>
    </row>
    <row r="61" spans="2:13">
      <c r="B61" s="683">
        <v>44378</v>
      </c>
      <c r="C61" s="684">
        <v>600.5</v>
      </c>
    </row>
    <row r="62" spans="2:13">
      <c r="B62" s="683">
        <v>44409</v>
      </c>
      <c r="C62" s="684">
        <v>620.85</v>
      </c>
    </row>
    <row r="63" spans="2:13">
      <c r="B63" s="683">
        <v>44440</v>
      </c>
      <c r="C63" s="684">
        <v>617.1</v>
      </c>
    </row>
    <row r="64" spans="2:13">
      <c r="B64" s="683">
        <v>44470</v>
      </c>
      <c r="C64" s="684">
        <v>586.29999999999995</v>
      </c>
    </row>
    <row r="65" spans="2:3">
      <c r="B65" s="683">
        <v>44501</v>
      </c>
      <c r="C65" s="684">
        <v>595.4</v>
      </c>
    </row>
    <row r="66" spans="2:3">
      <c r="B66" s="683">
        <v>44531</v>
      </c>
      <c r="C66" s="684">
        <v>580.4</v>
      </c>
    </row>
    <row r="67" spans="2:3">
      <c r="B67" s="683">
        <v>44562</v>
      </c>
      <c r="C67" s="684">
        <v>537.25</v>
      </c>
    </row>
    <row r="68" spans="2:3">
      <c r="B68" s="683">
        <v>44593</v>
      </c>
      <c r="C68" s="684">
        <v>563.75</v>
      </c>
    </row>
    <row r="69" spans="2:3">
      <c r="B69" s="683">
        <v>44621</v>
      </c>
      <c r="C69" s="684">
        <v>536.54999999999995</v>
      </c>
    </row>
    <row r="70" spans="2:3">
      <c r="B70" s="683">
        <v>44652</v>
      </c>
      <c r="C70" s="684">
        <v>556.85</v>
      </c>
    </row>
    <row r="71" spans="2:3">
      <c r="B71" s="683">
        <v>44682</v>
      </c>
      <c r="C71" s="684">
        <v>518.75</v>
      </c>
    </row>
    <row r="72" spans="2:3">
      <c r="B72" s="683">
        <v>44713</v>
      </c>
      <c r="C72" s="684">
        <v>495.95</v>
      </c>
    </row>
    <row r="73" spans="2:3">
      <c r="B73" s="683">
        <v>44743</v>
      </c>
      <c r="C73" s="684">
        <v>584.15</v>
      </c>
    </row>
    <row r="74" spans="2:3">
      <c r="B74" s="683">
        <v>44774</v>
      </c>
      <c r="C74" s="684">
        <v>583.4</v>
      </c>
    </row>
    <row r="75" spans="2:3">
      <c r="B75" s="683">
        <v>44805</v>
      </c>
      <c r="C75" s="684">
        <v>572.54999999999995</v>
      </c>
    </row>
    <row r="76" spans="2:3">
      <c r="B76" s="683">
        <v>44835</v>
      </c>
      <c r="C76" s="684">
        <v>554.54999999999995</v>
      </c>
    </row>
    <row r="77" spans="2:3">
      <c r="B77" s="683">
        <v>44866</v>
      </c>
      <c r="C77" s="684">
        <v>589.15</v>
      </c>
    </row>
    <row r="78" spans="2:3">
      <c r="B78" s="683">
        <v>44896</v>
      </c>
      <c r="C78" s="684">
        <v>561.4</v>
      </c>
    </row>
    <row r="79" spans="2:3">
      <c r="B79" s="683">
        <v>44927</v>
      </c>
      <c r="C79" s="684">
        <v>557.65</v>
      </c>
    </row>
    <row r="80" spans="2:3">
      <c r="B80" s="683">
        <v>44958</v>
      </c>
      <c r="C80" s="684">
        <v>533.04999999999995</v>
      </c>
    </row>
    <row r="81" spans="2:3">
      <c r="B81" s="683">
        <v>44986</v>
      </c>
      <c r="C81" s="684">
        <v>545.1</v>
      </c>
    </row>
    <row r="82" spans="2:3">
      <c r="B82" s="683">
        <v>45017</v>
      </c>
      <c r="C82" s="684">
        <v>532.85</v>
      </c>
    </row>
    <row r="83" spans="2:3">
      <c r="B83" s="683">
        <v>45047</v>
      </c>
      <c r="C83" s="684">
        <v>554.6</v>
      </c>
    </row>
    <row r="84" spans="2:3">
      <c r="B84" s="683">
        <v>45078</v>
      </c>
      <c r="C84" s="684">
        <v>572.9</v>
      </c>
    </row>
    <row r="85" spans="2:3">
      <c r="B85" s="683">
        <v>45108</v>
      </c>
      <c r="C85" s="684">
        <v>575.54999999999995</v>
      </c>
    </row>
    <row r="86" spans="2:3">
      <c r="B86" s="683">
        <v>45139</v>
      </c>
      <c r="C86" s="684">
        <v>553.29999999999995</v>
      </c>
    </row>
    <row r="87" spans="2:3">
      <c r="B87" s="683">
        <v>45170</v>
      </c>
      <c r="C87" s="684">
        <v>551.54999999999995</v>
      </c>
    </row>
    <row r="88" spans="2:3">
      <c r="B88" s="683">
        <v>45200</v>
      </c>
      <c r="C88" s="684">
        <v>528.79999999999995</v>
      </c>
    </row>
    <row r="89" spans="2:3">
      <c r="B89" s="683">
        <v>45231</v>
      </c>
      <c r="C89" s="684">
        <v>538.25</v>
      </c>
    </row>
    <row r="90" spans="2:3">
      <c r="B90" s="683">
        <v>45261</v>
      </c>
      <c r="C90" s="684">
        <v>556.95000000000005</v>
      </c>
    </row>
    <row r="91" spans="2:3">
      <c r="B91" s="683">
        <v>45292</v>
      </c>
      <c r="C91" s="684">
        <v>537.70000000000005</v>
      </c>
    </row>
    <row r="92" spans="2:3">
      <c r="B92" s="683">
        <v>45323</v>
      </c>
      <c r="C92" s="684">
        <v>538.25</v>
      </c>
    </row>
    <row r="93" spans="2:3">
      <c r="B93" s="683">
        <v>45352</v>
      </c>
      <c r="C93" s="684">
        <v>523.15</v>
      </c>
    </row>
    <row r="94" spans="2:3">
      <c r="B94" s="683">
        <v>45383</v>
      </c>
      <c r="C94" s="684">
        <v>507.55</v>
      </c>
    </row>
    <row r="95" spans="2:3">
      <c r="B95" s="683">
        <v>45413</v>
      </c>
      <c r="C95" s="684">
        <v>546.04999999999995</v>
      </c>
    </row>
    <row r="96" spans="2:3">
      <c r="B96" s="683">
        <v>45444</v>
      </c>
      <c r="C96" s="684">
        <v>600.85</v>
      </c>
    </row>
    <row r="97" spans="2:3">
      <c r="B97" s="683">
        <v>45474</v>
      </c>
      <c r="C97" s="684">
        <v>635.35</v>
      </c>
    </row>
    <row r="98" spans="2:3">
      <c r="B98" s="683">
        <v>45505</v>
      </c>
      <c r="C98" s="684">
        <v>637.29999999999995</v>
      </c>
    </row>
    <row r="99" spans="2:3">
      <c r="B99" s="683">
        <v>45536</v>
      </c>
      <c r="C99" s="684">
        <v>625.35</v>
      </c>
    </row>
    <row r="100" spans="2:3">
      <c r="B100" s="683">
        <v>45566</v>
      </c>
      <c r="C100" s="684">
        <v>539.95000000000005</v>
      </c>
    </row>
    <row r="101" spans="2:3">
      <c r="B101" s="683">
        <v>45597</v>
      </c>
      <c r="C101" s="684">
        <v>527.04999999999995</v>
      </c>
    </row>
    <row r="102" spans="2:3">
      <c r="B102" s="683">
        <v>45627</v>
      </c>
      <c r="C102" s="684">
        <v>506.85</v>
      </c>
    </row>
    <row r="103" spans="2:3">
      <c r="B103" s="683">
        <v>45658</v>
      </c>
      <c r="C103" s="684">
        <v>529.4</v>
      </c>
    </row>
    <row r="104" spans="2:3">
      <c r="B104" s="683">
        <v>45689</v>
      </c>
      <c r="C104" s="684">
        <v>494.15</v>
      </c>
    </row>
    <row r="105" spans="2:3">
      <c r="B105" s="683">
        <v>45717</v>
      </c>
      <c r="C105" s="684">
        <v>506.55</v>
      </c>
    </row>
    <row r="106" spans="2:3">
      <c r="B106" s="683">
        <v>45748</v>
      </c>
      <c r="C106" s="684">
        <v>487.45</v>
      </c>
    </row>
    <row r="107" spans="2:3">
      <c r="B107" s="683">
        <v>45778</v>
      </c>
      <c r="C107" s="684">
        <v>484.15</v>
      </c>
    </row>
    <row r="108" spans="2:3">
      <c r="B108" s="683">
        <v>45809</v>
      </c>
      <c r="C108" s="684">
        <v>485.1</v>
      </c>
    </row>
    <row r="109" spans="2:3">
      <c r="B109" s="683">
        <v>45839</v>
      </c>
      <c r="C109" s="684">
        <v>529.1</v>
      </c>
    </row>
    <row r="110" spans="2:3">
      <c r="B110" s="683">
        <v>45870</v>
      </c>
      <c r="C110" s="684">
        <v>520.95000000000005</v>
      </c>
    </row>
    <row r="111" spans="2:3">
      <c r="B111" s="683">
        <v>45901</v>
      </c>
      <c r="C111" s="684">
        <v>515.20000000000005</v>
      </c>
    </row>
  </sheetData>
  <mergeCells count="3">
    <mergeCell ref="B49:M49"/>
    <mergeCell ref="B50:M50"/>
    <mergeCell ref="B51:M51"/>
  </mergeCells>
  <pageMargins left="0.7" right="0.7" top="0.75" bottom="0.75" header="0.3" footer="0.3"/>
  <pageSetup paperSize="9" orientation="portrait" horizontalDpi="0" verticalDpi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B2FB8-390C-0C43-A09B-7F645C489930}">
  <sheetPr codeName="Sheet5">
    <tabColor theme="3" tint="0.89999084444715716"/>
  </sheetPr>
  <dimension ref="A1:AA69"/>
  <sheetViews>
    <sheetView zoomScale="50" workbookViewId="0">
      <selection activeCell="J9" sqref="J9"/>
    </sheetView>
  </sheetViews>
  <sheetFormatPr baseColWidth="10" defaultRowHeight="27"/>
  <cols>
    <col min="1" max="1" width="12.1640625" style="1" customWidth="1"/>
    <col min="2" max="2" width="36.83203125" style="1" bestFit="1" customWidth="1"/>
    <col min="3" max="4" width="10.83203125" style="1"/>
    <col min="5" max="5" width="22" style="1" customWidth="1"/>
    <col min="6" max="6" width="20.1640625" style="1" customWidth="1"/>
    <col min="7" max="7" width="25.1640625" style="1" customWidth="1"/>
    <col min="8" max="8" width="21.33203125" style="1" customWidth="1"/>
    <col min="9" max="9" width="26.83203125" style="1" customWidth="1"/>
    <col min="10" max="10" width="18.6640625" style="1" bestFit="1" customWidth="1"/>
    <col min="11" max="11" width="17" style="1" customWidth="1"/>
    <col min="12" max="14" width="19" style="1" bestFit="1" customWidth="1"/>
    <col min="15" max="15" width="19" style="1" customWidth="1"/>
    <col min="16" max="18" width="19" style="1" bestFit="1" customWidth="1"/>
    <col min="19" max="16384" width="10.83203125" style="1"/>
  </cols>
  <sheetData>
    <row r="1" spans="1:27" s="4" customFormat="1" ht="37">
      <c r="B1" s="109" t="s">
        <v>219</v>
      </c>
    </row>
    <row r="2" spans="1:27" s="4" customFormat="1" ht="16"/>
    <row r="3" spans="1:27" s="4" customFormat="1" ht="25">
      <c r="B3" s="727" t="s">
        <v>218</v>
      </c>
      <c r="C3" s="727"/>
      <c r="D3" s="727"/>
      <c r="E3" s="727"/>
      <c r="F3" s="727"/>
      <c r="G3" s="727"/>
      <c r="H3" s="727"/>
      <c r="I3" s="727"/>
      <c r="J3" s="75"/>
      <c r="K3" s="75"/>
      <c r="L3" s="107"/>
      <c r="M3" s="733" t="s">
        <v>350</v>
      </c>
      <c r="N3" s="733"/>
      <c r="O3" s="733"/>
      <c r="P3" s="733"/>
      <c r="Q3" s="733"/>
      <c r="R3" s="108"/>
    </row>
    <row r="4" spans="1:27" s="4" customFormat="1" ht="26" thickBot="1">
      <c r="B4" s="76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</row>
    <row r="5" spans="1:27">
      <c r="B5" s="735" t="s">
        <v>1</v>
      </c>
      <c r="C5" s="713"/>
      <c r="D5" s="715"/>
      <c r="E5" s="709" t="s">
        <v>221</v>
      </c>
      <c r="F5" s="709" t="s">
        <v>222</v>
      </c>
      <c r="G5" s="709" t="s">
        <v>223</v>
      </c>
      <c r="H5" s="709" t="s">
        <v>224</v>
      </c>
      <c r="I5" s="711" t="s">
        <v>225</v>
      </c>
      <c r="J5" s="728" t="s">
        <v>534</v>
      </c>
      <c r="K5" s="729"/>
      <c r="L5" s="734" t="s">
        <v>341</v>
      </c>
      <c r="M5" s="734" t="s">
        <v>342</v>
      </c>
      <c r="N5" s="734" t="s">
        <v>343</v>
      </c>
      <c r="O5" s="720" t="s">
        <v>344</v>
      </c>
      <c r="P5" s="720" t="s">
        <v>345</v>
      </c>
      <c r="Q5" s="720" t="s">
        <v>346</v>
      </c>
      <c r="R5" s="718" t="s">
        <v>347</v>
      </c>
      <c r="S5" s="717"/>
      <c r="T5" s="717"/>
      <c r="U5" s="717"/>
      <c r="V5" s="717"/>
      <c r="W5" s="717"/>
      <c r="X5" s="717"/>
      <c r="Y5" s="717"/>
      <c r="Z5" s="717"/>
      <c r="AA5" s="717"/>
    </row>
    <row r="6" spans="1:27" ht="28" thickBot="1">
      <c r="B6" s="730"/>
      <c r="C6" s="714"/>
      <c r="D6" s="716"/>
      <c r="E6" s="710"/>
      <c r="F6" s="710"/>
      <c r="G6" s="710"/>
      <c r="H6" s="710"/>
      <c r="I6" s="712"/>
      <c r="J6" s="730"/>
      <c r="K6" s="712"/>
      <c r="L6" s="721"/>
      <c r="M6" s="721"/>
      <c r="N6" s="721"/>
      <c r="O6" s="721"/>
      <c r="P6" s="721"/>
      <c r="Q6" s="721"/>
      <c r="R6" s="719"/>
      <c r="S6" s="717"/>
      <c r="T6" s="717"/>
      <c r="U6" s="717"/>
      <c r="V6" s="717"/>
      <c r="W6" s="717"/>
      <c r="X6" s="717"/>
      <c r="Y6" s="717"/>
      <c r="Z6" s="717"/>
      <c r="AA6" s="717"/>
    </row>
    <row r="7" spans="1:27">
      <c r="B7" s="77" t="s">
        <v>220</v>
      </c>
      <c r="C7" s="68"/>
      <c r="D7" s="87"/>
      <c r="E7" s="69">
        <v>9562</v>
      </c>
      <c r="F7" s="69">
        <v>10889</v>
      </c>
      <c r="G7" s="69">
        <v>11530</v>
      </c>
      <c r="H7" s="69">
        <v>12404</v>
      </c>
      <c r="I7" s="78">
        <v>12563</v>
      </c>
      <c r="J7" s="218"/>
      <c r="K7" s="218"/>
      <c r="L7" s="220">
        <f>I7*(1+$J$8)</f>
        <v>12877.074999999999</v>
      </c>
      <c r="M7" s="221">
        <f>L7*(1+$J$8)</f>
        <v>13199.001874999998</v>
      </c>
      <c r="N7" s="221">
        <f>M7*(1+$J$8)</f>
        <v>13528.976921874997</v>
      </c>
      <c r="O7" s="221">
        <f t="shared" ref="O7:R7" si="0">N7*(1+$J$8)</f>
        <v>13867.20134492187</v>
      </c>
      <c r="P7" s="221">
        <f t="shared" si="0"/>
        <v>14213.881378544917</v>
      </c>
      <c r="Q7" s="221">
        <f t="shared" si="0"/>
        <v>14569.228413008539</v>
      </c>
      <c r="R7" s="222">
        <f t="shared" si="0"/>
        <v>14933.459123333751</v>
      </c>
    </row>
    <row r="8" spans="1:27">
      <c r="B8" s="79" t="s">
        <v>331</v>
      </c>
      <c r="C8" s="70"/>
      <c r="D8" s="88"/>
      <c r="E8" s="71" t="s">
        <v>216</v>
      </c>
      <c r="F8" s="72">
        <f>(F7/E7)-1</f>
        <v>0.13877849822212918</v>
      </c>
      <c r="G8" s="72">
        <f t="shared" ref="G8:I8" si="1">(G7/F7)-1</f>
        <v>5.8866746257691283E-2</v>
      </c>
      <c r="H8" s="72">
        <f t="shared" si="1"/>
        <v>7.5802254986990558E-2</v>
      </c>
      <c r="I8" s="80">
        <f t="shared" si="1"/>
        <v>1.2818445662689415E-2</v>
      </c>
      <c r="J8" s="723">
        <v>2.5000000000000001E-2</v>
      </c>
      <c r="K8" s="724"/>
      <c r="L8" s="223"/>
      <c r="M8" s="224"/>
      <c r="N8" s="224"/>
      <c r="O8" s="224"/>
      <c r="P8" s="224"/>
      <c r="Q8" s="224"/>
      <c r="R8" s="225"/>
    </row>
    <row r="9" spans="1:27">
      <c r="B9" s="81" t="str">
        <f>Calculatios!$B$32</f>
        <v>Earning before interest and Tax</v>
      </c>
      <c r="C9" s="66"/>
      <c r="D9" s="89"/>
      <c r="E9" s="67">
        <v>2092.04</v>
      </c>
      <c r="F9" s="67">
        <v>2316.8000000000002</v>
      </c>
      <c r="G9" s="67">
        <v>2296.9899999999998</v>
      </c>
      <c r="H9" s="67">
        <v>2481.5500000000002</v>
      </c>
      <c r="I9" s="82">
        <v>2423.94</v>
      </c>
      <c r="J9" s="218"/>
      <c r="K9" s="218"/>
      <c r="L9" s="226">
        <f>L7*$J$10</f>
        <v>2636.6424877359204</v>
      </c>
      <c r="M9" s="227">
        <f>M7*$J$10</f>
        <v>2702.5585499293184</v>
      </c>
      <c r="N9" s="227">
        <f t="shared" ref="N9:R9" si="2">N7*$J$10</f>
        <v>2770.1225136775511</v>
      </c>
      <c r="O9" s="227">
        <f t="shared" si="2"/>
        <v>2839.3755765194896</v>
      </c>
      <c r="P9" s="227">
        <f t="shared" si="2"/>
        <v>2910.3599659324764</v>
      </c>
      <c r="Q9" s="227">
        <f t="shared" si="2"/>
        <v>2983.1189650807883</v>
      </c>
      <c r="R9" s="228">
        <f t="shared" si="2"/>
        <v>3057.6969392078076</v>
      </c>
    </row>
    <row r="10" spans="1:27">
      <c r="B10" s="79" t="s">
        <v>348</v>
      </c>
      <c r="C10" s="70"/>
      <c r="D10" s="88"/>
      <c r="E10" s="73">
        <f>(E9/E7)</f>
        <v>0.21878686467266262</v>
      </c>
      <c r="F10" s="73">
        <f t="shared" ref="F10:I10" si="3">(F9/F7)</f>
        <v>0.21276517586555241</v>
      </c>
      <c r="G10" s="73">
        <f t="shared" si="3"/>
        <v>0.19921856027753684</v>
      </c>
      <c r="H10" s="73">
        <f t="shared" si="3"/>
        <v>0.20006046436633346</v>
      </c>
      <c r="I10" s="83">
        <f t="shared" si="3"/>
        <v>0.19294276844702699</v>
      </c>
      <c r="J10" s="731">
        <f>AVERAGE(D10:I10)</f>
        <v>0.20475476672582249</v>
      </c>
      <c r="K10" s="732"/>
      <c r="L10" s="232"/>
      <c r="M10" s="233"/>
      <c r="N10" s="233"/>
      <c r="O10" s="233"/>
      <c r="P10" s="233"/>
      <c r="Q10" s="233"/>
      <c r="R10" s="234"/>
    </row>
    <row r="11" spans="1:27">
      <c r="B11" s="81" t="s">
        <v>226</v>
      </c>
      <c r="C11" s="66"/>
      <c r="D11" s="89"/>
      <c r="E11" s="74">
        <v>-240.13</v>
      </c>
      <c r="F11" s="74">
        <v>-252.89</v>
      </c>
      <c r="G11" s="74">
        <v>-310.95999999999998</v>
      </c>
      <c r="H11" s="74">
        <v>-399.21</v>
      </c>
      <c r="I11" s="84">
        <v>-445.6</v>
      </c>
      <c r="J11" s="218"/>
      <c r="K11" s="218"/>
      <c r="L11" s="512">
        <f>L13*$J$12</f>
        <v>-368.98004693085022</v>
      </c>
      <c r="M11" s="512">
        <f t="shared" ref="M11:R11" si="4">M13*$J$12</f>
        <v>-378.20454810412139</v>
      </c>
      <c r="N11" s="512">
        <f t="shared" si="4"/>
        <v>-387.65966180672439</v>
      </c>
      <c r="O11" s="512">
        <f t="shared" si="4"/>
        <v>-397.35115335189244</v>
      </c>
      <c r="P11" s="512">
        <f t="shared" si="4"/>
        <v>-407.2849321856898</v>
      </c>
      <c r="Q11" s="512">
        <f t="shared" si="4"/>
        <v>-417.46705549033203</v>
      </c>
      <c r="R11" s="512">
        <f t="shared" si="4"/>
        <v>-427.90373187759025</v>
      </c>
      <c r="S11" s="513"/>
    </row>
    <row r="12" spans="1:27">
      <c r="B12" s="85" t="s">
        <v>338</v>
      </c>
      <c r="C12" s="70"/>
      <c r="D12" s="88"/>
      <c r="E12" s="73">
        <f>E11/E13</f>
        <v>0.77212218649517683</v>
      </c>
      <c r="F12" s="73">
        <f t="shared" ref="F12:I12" si="5">F11/F13</f>
        <v>0.67617647058823527</v>
      </c>
      <c r="G12" s="73">
        <f t="shared" si="5"/>
        <v>0.61092337917485262</v>
      </c>
      <c r="H12" s="73">
        <f t="shared" si="5"/>
        <v>0.70781914893617015</v>
      </c>
      <c r="I12" s="73">
        <f t="shared" si="5"/>
        <v>0.78175438596491231</v>
      </c>
      <c r="J12" s="723">
        <f>AVERAGE(E12:I12)</f>
        <v>0.70975911423186944</v>
      </c>
      <c r="K12" s="724"/>
      <c r="L12" s="509"/>
      <c r="M12" s="510"/>
      <c r="N12" s="510"/>
      <c r="O12" s="510"/>
      <c r="P12" s="510"/>
      <c r="Q12" s="510"/>
      <c r="R12" s="511"/>
    </row>
    <row r="13" spans="1:27">
      <c r="B13" s="81" t="s">
        <v>227</v>
      </c>
      <c r="C13" s="66"/>
      <c r="D13" s="89"/>
      <c r="E13" s="74">
        <v>-311</v>
      </c>
      <c r="F13" s="74">
        <v>-374</v>
      </c>
      <c r="G13" s="74">
        <v>-509</v>
      </c>
      <c r="H13" s="74">
        <v>-564</v>
      </c>
      <c r="I13" s="84">
        <v>-570</v>
      </c>
      <c r="J13" s="218"/>
      <c r="K13" s="218"/>
      <c r="L13" s="229">
        <f>L7*$J$14</f>
        <v>-519.86658505988419</v>
      </c>
      <c r="M13" s="230">
        <f t="shared" ref="M13:R13" si="6">M7*$J$14</f>
        <v>-532.86324968638121</v>
      </c>
      <c r="N13" s="230">
        <f t="shared" si="6"/>
        <v>-546.18483092854069</v>
      </c>
      <c r="O13" s="230">
        <f t="shared" si="6"/>
        <v>-559.83945170175411</v>
      </c>
      <c r="P13" s="230">
        <f t="shared" si="6"/>
        <v>-573.83543799429799</v>
      </c>
      <c r="Q13" s="230">
        <f t="shared" si="6"/>
        <v>-588.18132394415545</v>
      </c>
      <c r="R13" s="231">
        <f t="shared" si="6"/>
        <v>-602.8858570427592</v>
      </c>
    </row>
    <row r="14" spans="1:27">
      <c r="B14" s="85" t="s">
        <v>339</v>
      </c>
      <c r="C14" s="94"/>
      <c r="D14" s="88"/>
      <c r="E14" s="73">
        <f>E13/E7</f>
        <v>-3.2524576448441748E-2</v>
      </c>
      <c r="F14" s="73">
        <f t="shared" ref="F14:I14" si="7">F13/F7</f>
        <v>-3.4346588300119385E-2</v>
      </c>
      <c r="G14" s="73">
        <f t="shared" si="7"/>
        <v>-4.4145706851691238E-2</v>
      </c>
      <c r="H14" s="73">
        <f t="shared" si="7"/>
        <v>-4.5469203482747501E-2</v>
      </c>
      <c r="I14" s="83">
        <f t="shared" si="7"/>
        <v>-4.5371328504338136E-2</v>
      </c>
      <c r="J14" s="723">
        <f>AVERAGE(E14:I14)</f>
        <v>-4.0371480717467607E-2</v>
      </c>
      <c r="K14" s="724"/>
      <c r="L14" s="223"/>
      <c r="M14" s="224"/>
      <c r="N14" s="224"/>
      <c r="O14" s="224"/>
      <c r="P14" s="224"/>
      <c r="Q14" s="224"/>
      <c r="R14" s="225"/>
    </row>
    <row r="15" spans="1:27">
      <c r="B15" s="86" t="str">
        <f>Calculatios!$B$13</f>
        <v xml:space="preserve">working capital number  </v>
      </c>
      <c r="C15" s="103"/>
      <c r="D15" s="65"/>
      <c r="E15" s="269">
        <f>Calculatios!G13</f>
        <v>192</v>
      </c>
      <c r="F15" s="269">
        <f>Calculatios!H13</f>
        <v>39</v>
      </c>
      <c r="G15" s="269">
        <f>Calculatios!I13</f>
        <v>168</v>
      </c>
      <c r="H15" s="269">
        <f>Calculatios!J13</f>
        <v>-195</v>
      </c>
      <c r="I15" s="270">
        <f>Calculatios!K13</f>
        <v>-362</v>
      </c>
      <c r="J15" s="218"/>
      <c r="K15" s="218"/>
      <c r="L15" s="226">
        <f>L7*$J$16</f>
        <v>-16.2347626038712</v>
      </c>
      <c r="M15" s="227">
        <f t="shared" ref="M15:R15" si="8">M7*$J$16</f>
        <v>-16.640631668967977</v>
      </c>
      <c r="N15" s="227">
        <f t="shared" si="8"/>
        <v>-17.056647460692176</v>
      </c>
      <c r="O15" s="227">
        <f t="shared" si="8"/>
        <v>-17.483063647209477</v>
      </c>
      <c r="P15" s="227">
        <f t="shared" si="8"/>
        <v>-17.920140238389713</v>
      </c>
      <c r="Q15" s="227">
        <f t="shared" si="8"/>
        <v>-18.368143744349457</v>
      </c>
      <c r="R15" s="228">
        <f t="shared" si="8"/>
        <v>-18.827347337958191</v>
      </c>
    </row>
    <row r="16" spans="1:27">
      <c r="A16" s="100"/>
      <c r="B16" s="99" t="s">
        <v>340</v>
      </c>
      <c r="C16" s="104"/>
      <c r="D16" s="95"/>
      <c r="E16" s="96">
        <f>E15/E7</f>
        <v>2.0079481280066931E-2</v>
      </c>
      <c r="F16" s="96">
        <f t="shared" ref="F16:I16" si="9">F15/F7</f>
        <v>3.5815961061621822E-3</v>
      </c>
      <c r="G16" s="96">
        <f t="shared" si="9"/>
        <v>1.4570685169124024E-2</v>
      </c>
      <c r="H16" s="96">
        <f t="shared" si="9"/>
        <v>-1.5720735246694616E-2</v>
      </c>
      <c r="I16" s="102">
        <f t="shared" si="9"/>
        <v>-2.8814773541351587E-2</v>
      </c>
      <c r="J16" s="723">
        <f>AVERAGE(E16:I16)</f>
        <v>-1.2607492465386123E-3</v>
      </c>
      <c r="K16" s="724"/>
      <c r="L16" s="232"/>
      <c r="M16" s="233"/>
      <c r="N16" s="233"/>
      <c r="O16" s="233"/>
      <c r="P16" s="233"/>
      <c r="Q16" s="233"/>
      <c r="R16" s="234"/>
    </row>
    <row r="17" spans="1:26" ht="28" thickBot="1">
      <c r="A17" s="101"/>
      <c r="B17" s="97" t="s">
        <v>228</v>
      </c>
      <c r="C17" s="105"/>
      <c r="D17" s="97"/>
      <c r="E17" s="98">
        <v>0.25</v>
      </c>
      <c r="F17" s="98">
        <v>0.25</v>
      </c>
      <c r="G17" s="98">
        <v>0.25</v>
      </c>
      <c r="H17" s="98">
        <v>0.25</v>
      </c>
      <c r="I17" s="98">
        <v>0.25</v>
      </c>
      <c r="J17" s="725">
        <v>0.25</v>
      </c>
      <c r="K17" s="726"/>
      <c r="L17" s="285"/>
      <c r="M17" s="110"/>
      <c r="N17" s="110"/>
      <c r="O17" s="110"/>
      <c r="P17" s="110"/>
      <c r="Q17" s="110"/>
      <c r="R17" s="219"/>
    </row>
    <row r="18" spans="1:26" ht="29" thickTop="1" thickBot="1">
      <c r="B18" s="91" t="s">
        <v>349</v>
      </c>
      <c r="C18" s="106"/>
      <c r="D18" s="90"/>
      <c r="E18" s="92">
        <f>E9*(1-E17)</f>
        <v>1569.03</v>
      </c>
      <c r="F18" s="92">
        <f>F9*(1-F17)</f>
        <v>1737.6000000000001</v>
      </c>
      <c r="G18" s="92">
        <f>G9*(1-G17)</f>
        <v>1722.7424999999998</v>
      </c>
      <c r="H18" s="92">
        <f t="shared" ref="H18" si="10">H9*(1-H17)</f>
        <v>1861.1625000000001</v>
      </c>
      <c r="I18" s="93">
        <f>I9*(1-I17)</f>
        <v>1817.9549999999999</v>
      </c>
      <c r="J18" s="236"/>
      <c r="K18" s="237"/>
      <c r="L18" s="235">
        <f>L9*(1-$J$17)</f>
        <v>1977.4818658019403</v>
      </c>
      <c r="M18" s="235">
        <f t="shared" ref="M18:Q18" si="11">M9*(1-$J$17)</f>
        <v>2026.9189124469888</v>
      </c>
      <c r="N18" s="235">
        <f>N9*(1-$J$17)</f>
        <v>2077.5918852581635</v>
      </c>
      <c r="O18" s="235">
        <f t="shared" si="11"/>
        <v>2129.5316823896173</v>
      </c>
      <c r="P18" s="235">
        <f>P9*(1-$J$17)</f>
        <v>2182.7699744493575</v>
      </c>
      <c r="Q18" s="235">
        <f t="shared" si="11"/>
        <v>2237.3392238105912</v>
      </c>
      <c r="R18" s="235">
        <f>R9*(1-$J$17)</f>
        <v>2293.2727044058556</v>
      </c>
      <c r="S18" s="286"/>
    </row>
    <row r="19" spans="1:26">
      <c r="Y19" s="722"/>
      <c r="Z19" s="722"/>
    </row>
    <row r="35" spans="1:17" ht="37">
      <c r="A35" s="508"/>
      <c r="B35" s="507" t="s">
        <v>538</v>
      </c>
      <c r="C35" s="508"/>
      <c r="D35" s="508"/>
      <c r="E35" s="508"/>
      <c r="F35" s="508"/>
      <c r="G35" s="508"/>
      <c r="H35" s="508"/>
      <c r="I35" s="508"/>
      <c r="J35" s="508"/>
      <c r="K35" s="508"/>
      <c r="L35" s="508"/>
      <c r="M35" s="508"/>
      <c r="N35" s="508"/>
      <c r="O35" s="508"/>
      <c r="P35" s="508"/>
      <c r="Q35" s="508"/>
    </row>
    <row r="36" spans="1:17" ht="37">
      <c r="A36" s="508"/>
      <c r="B36" s="508" t="s">
        <v>542</v>
      </c>
      <c r="C36" s="508"/>
      <c r="D36" s="508"/>
      <c r="E36" s="508"/>
      <c r="F36" s="508"/>
      <c r="G36" s="508"/>
      <c r="H36" s="508"/>
      <c r="I36" s="508"/>
      <c r="J36" s="508"/>
      <c r="K36" s="508"/>
      <c r="L36" s="508"/>
      <c r="M36" s="508"/>
      <c r="N36" s="508"/>
      <c r="O36" s="508"/>
      <c r="P36" s="508"/>
      <c r="Q36" s="508"/>
    </row>
    <row r="37" spans="1:17" ht="37">
      <c r="A37" s="508"/>
      <c r="B37" s="508" t="s">
        <v>539</v>
      </c>
      <c r="C37" s="508"/>
      <c r="D37" s="508"/>
      <c r="E37" s="508"/>
      <c r="F37" s="508"/>
      <c r="G37" s="508"/>
      <c r="H37" s="508"/>
      <c r="I37" s="508"/>
      <c r="J37" s="508"/>
      <c r="K37" s="508"/>
      <c r="L37" s="508"/>
      <c r="M37" s="508"/>
      <c r="N37" s="508"/>
      <c r="O37" s="508"/>
      <c r="P37" s="508"/>
      <c r="Q37" s="508"/>
    </row>
    <row r="38" spans="1:17" ht="37">
      <c r="A38" s="508"/>
      <c r="B38" s="508" t="s">
        <v>540</v>
      </c>
      <c r="C38" s="508"/>
      <c r="D38" s="508"/>
      <c r="E38" s="508"/>
      <c r="F38" s="508"/>
      <c r="G38" s="508"/>
      <c r="H38" s="508"/>
      <c r="I38" s="508"/>
      <c r="J38" s="508"/>
      <c r="K38" s="508"/>
      <c r="L38" s="508"/>
      <c r="M38" s="508"/>
      <c r="N38" s="508"/>
      <c r="O38" s="508"/>
      <c r="P38" s="508"/>
      <c r="Q38" s="508"/>
    </row>
    <row r="39" spans="1:17" ht="37">
      <c r="A39" s="508"/>
      <c r="B39" s="508" t="s">
        <v>541</v>
      </c>
      <c r="C39" s="508"/>
      <c r="D39" s="508"/>
      <c r="E39" s="508"/>
      <c r="F39" s="508"/>
      <c r="G39" s="508"/>
      <c r="H39" s="508"/>
      <c r="I39" s="508"/>
      <c r="J39" s="508"/>
      <c r="K39" s="508"/>
      <c r="L39" s="508"/>
      <c r="M39" s="508"/>
      <c r="N39" s="508"/>
      <c r="O39" s="508"/>
      <c r="P39" s="508"/>
      <c r="Q39" s="508"/>
    </row>
    <row r="40" spans="1:17" ht="37">
      <c r="A40" s="508"/>
      <c r="B40" s="508" t="s">
        <v>543</v>
      </c>
      <c r="C40" s="508"/>
      <c r="D40" s="508"/>
      <c r="E40" s="508"/>
      <c r="F40" s="508"/>
      <c r="G40" s="508"/>
      <c r="H40" s="508"/>
      <c r="I40" s="508"/>
      <c r="J40" s="508"/>
      <c r="K40" s="508"/>
      <c r="L40" s="508"/>
      <c r="M40" s="508"/>
      <c r="N40" s="508"/>
      <c r="O40" s="508"/>
      <c r="P40" s="508"/>
      <c r="Q40" s="508"/>
    </row>
    <row r="41" spans="1:17" ht="37">
      <c r="A41" s="508"/>
      <c r="B41" s="508" t="s">
        <v>544</v>
      </c>
      <c r="C41" s="508"/>
      <c r="D41" s="508"/>
      <c r="E41" s="508"/>
      <c r="F41" s="508"/>
      <c r="G41" s="508"/>
      <c r="H41" s="508"/>
      <c r="I41" s="508"/>
      <c r="J41" s="508"/>
      <c r="K41" s="508"/>
      <c r="L41" s="508"/>
      <c r="M41" s="508"/>
      <c r="N41" s="508"/>
      <c r="O41" s="508"/>
      <c r="P41" s="508"/>
      <c r="Q41" s="508"/>
    </row>
    <row r="42" spans="1:17" ht="37">
      <c r="A42" s="508"/>
      <c r="B42" s="508"/>
      <c r="C42" s="508"/>
      <c r="D42" s="508"/>
      <c r="E42" s="508"/>
      <c r="F42" s="508"/>
      <c r="G42" s="508"/>
      <c r="H42" s="508"/>
      <c r="I42" s="508"/>
      <c r="J42" s="508"/>
      <c r="K42" s="508"/>
      <c r="L42" s="508"/>
      <c r="M42" s="508"/>
      <c r="N42" s="508"/>
      <c r="O42" s="508"/>
      <c r="P42" s="508"/>
      <c r="Q42" s="508"/>
    </row>
    <row r="43" spans="1:17" ht="37">
      <c r="A43" s="508"/>
      <c r="B43" s="15" t="s">
        <v>545</v>
      </c>
      <c r="C43" s="508"/>
      <c r="D43" s="508"/>
      <c r="E43" s="508"/>
      <c r="F43" s="508"/>
      <c r="G43" s="508"/>
      <c r="H43" s="508"/>
      <c r="I43" s="508"/>
      <c r="J43" s="508"/>
      <c r="K43" s="508"/>
      <c r="L43" s="508"/>
      <c r="M43" s="508"/>
      <c r="N43" s="508"/>
      <c r="O43" s="508"/>
      <c r="P43" s="508"/>
      <c r="Q43" s="508"/>
    </row>
    <row r="44" spans="1:17" ht="37">
      <c r="A44" s="508"/>
      <c r="B44" s="514" t="s">
        <v>562</v>
      </c>
      <c r="C44" s="515"/>
      <c r="D44" s="515"/>
      <c r="E44" s="515"/>
      <c r="F44" s="515"/>
      <c r="G44" s="508"/>
      <c r="H44" s="508"/>
      <c r="I44" s="508"/>
      <c r="J44" s="508"/>
      <c r="K44" s="508"/>
      <c r="L44" s="508"/>
      <c r="M44" s="508"/>
      <c r="N44" s="508"/>
      <c r="O44" s="508"/>
      <c r="P44" s="508"/>
      <c r="Q44" s="508"/>
    </row>
    <row r="45" spans="1:17" ht="37">
      <c r="A45" s="508"/>
      <c r="B45" s="514" t="s">
        <v>563</v>
      </c>
      <c r="C45" s="515"/>
      <c r="D45" s="515"/>
      <c r="E45" s="515"/>
      <c r="F45" s="515"/>
      <c r="G45" s="508"/>
      <c r="H45" s="508"/>
      <c r="I45" s="508"/>
      <c r="J45" s="508"/>
      <c r="K45" s="508"/>
      <c r="L45" s="508"/>
      <c r="M45" s="508"/>
      <c r="N45" s="508"/>
      <c r="O45" s="508"/>
      <c r="P45" s="508"/>
      <c r="Q45" s="508"/>
    </row>
    <row r="46" spans="1:17" ht="37">
      <c r="A46" s="508"/>
      <c r="B46" s="514" t="s">
        <v>564</v>
      </c>
      <c r="C46" s="515"/>
      <c r="D46" s="515"/>
      <c r="E46" s="515"/>
      <c r="F46" s="515"/>
      <c r="G46" s="508"/>
      <c r="H46" s="508"/>
      <c r="I46" s="508"/>
      <c r="J46" s="508"/>
      <c r="K46" s="508"/>
      <c r="L46" s="508"/>
      <c r="M46" s="508"/>
      <c r="N46" s="508"/>
      <c r="O46" s="508"/>
      <c r="P46" s="508"/>
      <c r="Q46" s="508"/>
    </row>
    <row r="47" spans="1:17" ht="37">
      <c r="A47" s="508"/>
      <c r="B47" s="514" t="s">
        <v>565</v>
      </c>
      <c r="C47" s="515"/>
      <c r="D47" s="515"/>
      <c r="E47" s="515"/>
      <c r="F47" s="515"/>
      <c r="G47" s="508"/>
      <c r="H47" s="508"/>
      <c r="I47" s="508"/>
      <c r="J47" s="508"/>
      <c r="K47" s="508"/>
      <c r="L47" s="508"/>
      <c r="M47" s="508"/>
      <c r="N47" s="508"/>
      <c r="O47" s="508"/>
      <c r="P47" s="508"/>
      <c r="Q47" s="508"/>
    </row>
    <row r="48" spans="1:17" ht="37">
      <c r="A48" s="508"/>
      <c r="B48" s="514" t="s">
        <v>566</v>
      </c>
      <c r="C48" s="515"/>
      <c r="D48" s="515"/>
      <c r="E48" s="515"/>
      <c r="F48" s="515"/>
      <c r="G48" s="508"/>
      <c r="H48" s="508"/>
      <c r="I48" s="508"/>
      <c r="J48" s="508"/>
      <c r="K48" s="508"/>
      <c r="L48" s="508"/>
      <c r="M48" s="508"/>
      <c r="N48" s="508"/>
      <c r="O48" s="508"/>
      <c r="P48" s="508"/>
      <c r="Q48" s="508"/>
    </row>
    <row r="49" spans="1:17" ht="37">
      <c r="A49" s="508"/>
      <c r="B49" s="514" t="s">
        <v>567</v>
      </c>
      <c r="C49" s="515"/>
      <c r="D49" s="515"/>
      <c r="E49" s="515"/>
      <c r="F49" s="515"/>
      <c r="G49" s="508"/>
      <c r="H49" s="508"/>
      <c r="I49" s="508"/>
      <c r="J49" s="508"/>
      <c r="K49" s="508"/>
      <c r="L49" s="508"/>
      <c r="M49" s="508"/>
      <c r="N49" s="508"/>
      <c r="O49" s="508"/>
      <c r="P49" s="508"/>
      <c r="Q49" s="508"/>
    </row>
    <row r="50" spans="1:17" ht="37">
      <c r="A50" s="508"/>
      <c r="B50" s="5"/>
      <c r="C50" s="508"/>
      <c r="D50" s="508"/>
      <c r="E50" s="508"/>
      <c r="F50" s="508"/>
      <c r="G50" s="508"/>
      <c r="H50" s="508"/>
      <c r="I50" s="508"/>
      <c r="J50" s="508"/>
      <c r="K50" s="508"/>
      <c r="L50" s="508"/>
      <c r="M50" s="508"/>
      <c r="N50" s="508"/>
      <c r="O50" s="508"/>
      <c r="P50" s="508"/>
      <c r="Q50" s="508"/>
    </row>
    <row r="51" spans="1:17" ht="37">
      <c r="A51" s="508"/>
      <c r="B51" s="15" t="s">
        <v>546</v>
      </c>
      <c r="C51" s="508"/>
      <c r="D51" s="508"/>
      <c r="E51" s="508"/>
      <c r="F51" s="508"/>
      <c r="G51" s="508"/>
      <c r="H51" s="508"/>
      <c r="I51" s="508"/>
      <c r="J51" s="508"/>
      <c r="K51" s="508"/>
      <c r="L51" s="508"/>
      <c r="M51" s="508"/>
      <c r="N51" s="508"/>
      <c r="O51" s="508"/>
      <c r="P51" s="508"/>
      <c r="Q51" s="508"/>
    </row>
    <row r="52" spans="1:17" ht="37">
      <c r="A52" s="508"/>
      <c r="B52" s="15" t="s">
        <v>555</v>
      </c>
      <c r="C52" s="508"/>
      <c r="D52" s="508"/>
      <c r="E52" s="508"/>
      <c r="F52" s="508"/>
      <c r="G52" s="508"/>
      <c r="H52" s="508"/>
      <c r="I52" s="508"/>
      <c r="J52" s="508"/>
      <c r="K52" s="508"/>
      <c r="L52" s="508"/>
      <c r="M52" s="508"/>
      <c r="N52" s="508"/>
      <c r="O52" s="508"/>
      <c r="P52" s="508"/>
      <c r="Q52" s="508"/>
    </row>
    <row r="53" spans="1:17" ht="37">
      <c r="A53" s="508"/>
      <c r="B53" s="5" t="s">
        <v>547</v>
      </c>
      <c r="C53" s="508"/>
      <c r="D53" s="508"/>
      <c r="E53" s="508"/>
      <c r="F53" s="508"/>
      <c r="G53" s="508"/>
      <c r="H53" s="508"/>
      <c r="I53" s="508"/>
      <c r="J53" s="508"/>
      <c r="K53" s="508"/>
      <c r="L53" s="508"/>
      <c r="M53" s="508"/>
      <c r="N53" s="508"/>
      <c r="O53" s="508"/>
      <c r="P53" s="508"/>
      <c r="Q53" s="508"/>
    </row>
    <row r="54" spans="1:17">
      <c r="B54" s="5" t="s">
        <v>548</v>
      </c>
    </row>
    <row r="55" spans="1:17">
      <c r="B55" s="5" t="s">
        <v>549</v>
      </c>
    </row>
    <row r="56" spans="1:17">
      <c r="B56" s="5" t="s">
        <v>550</v>
      </c>
    </row>
    <row r="57" spans="1:17">
      <c r="B57" s="5"/>
    </row>
    <row r="58" spans="1:17">
      <c r="B58" s="15" t="s">
        <v>551</v>
      </c>
    </row>
    <row r="59" spans="1:17">
      <c r="B59" s="15" t="s">
        <v>556</v>
      </c>
    </row>
    <row r="60" spans="1:17">
      <c r="B60" s="15" t="s">
        <v>557</v>
      </c>
    </row>
    <row r="61" spans="1:17">
      <c r="B61" s="5"/>
    </row>
    <row r="62" spans="1:17">
      <c r="B62" s="15" t="s">
        <v>552</v>
      </c>
    </row>
    <row r="63" spans="1:17">
      <c r="B63" s="15" t="s">
        <v>558</v>
      </c>
    </row>
    <row r="64" spans="1:17">
      <c r="B64" s="15" t="s">
        <v>559</v>
      </c>
    </row>
    <row r="65" spans="2:2">
      <c r="B65" s="15" t="s">
        <v>560</v>
      </c>
    </row>
    <row r="66" spans="2:2">
      <c r="B66" s="5"/>
    </row>
    <row r="67" spans="2:2">
      <c r="B67" s="15" t="s">
        <v>553</v>
      </c>
    </row>
    <row r="68" spans="2:2">
      <c r="B68" s="15" t="s">
        <v>561</v>
      </c>
    </row>
    <row r="69" spans="2:2">
      <c r="B69" s="5" t="s">
        <v>554</v>
      </c>
    </row>
  </sheetData>
  <mergeCells count="34">
    <mergeCell ref="Y19:Z19"/>
    <mergeCell ref="J16:K16"/>
    <mergeCell ref="J17:K17"/>
    <mergeCell ref="B3:I3"/>
    <mergeCell ref="J5:K6"/>
    <mergeCell ref="J8:K8"/>
    <mergeCell ref="J10:K10"/>
    <mergeCell ref="J12:K12"/>
    <mergeCell ref="J14:K14"/>
    <mergeCell ref="M3:Q3"/>
    <mergeCell ref="O5:O6"/>
    <mergeCell ref="P5:P6"/>
    <mergeCell ref="L5:L6"/>
    <mergeCell ref="M5:M6"/>
    <mergeCell ref="N5:N6"/>
    <mergeCell ref="B5:B6"/>
    <mergeCell ref="AA5:AA6"/>
    <mergeCell ref="T5:T6"/>
    <mergeCell ref="S5:S6"/>
    <mergeCell ref="R5:R6"/>
    <mergeCell ref="Q5:Q6"/>
    <mergeCell ref="Y5:Y6"/>
    <mergeCell ref="Z5:Z6"/>
    <mergeCell ref="U5:U6"/>
    <mergeCell ref="V5:V6"/>
    <mergeCell ref="W5:W6"/>
    <mergeCell ref="X5:X6"/>
    <mergeCell ref="H5:H6"/>
    <mergeCell ref="I5:I6"/>
    <mergeCell ref="C5:C6"/>
    <mergeCell ref="D5:D6"/>
    <mergeCell ref="E5:E6"/>
    <mergeCell ref="F5:F6"/>
    <mergeCell ref="G5:G6"/>
  </mergeCells>
  <phoneticPr fontId="17" type="noConversion"/>
  <hyperlinks>
    <hyperlink ref="B15" location="Sheet9!B10" display="Sheet9!B10" xr:uid="{1D772126-EFD9-1441-AD86-F1DE35B6A1DF}"/>
  </hyperlinks>
  <pageMargins left="0.7" right="0.7" top="0.75" bottom="0.75" header="0.3" footer="0.3"/>
  <pageSetup paperSize="9" orientation="portrait" horizontalDpi="0" verticalDpi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D792F-2710-C64F-8BC9-945467F7AF83}">
  <sheetPr codeName="Sheet6">
    <tabColor theme="3" tint="0.89999084444715716"/>
  </sheetPr>
  <dimension ref="B2:R69"/>
  <sheetViews>
    <sheetView topLeftCell="A14" zoomScale="50" workbookViewId="0">
      <selection activeCell="K49" sqref="K49"/>
    </sheetView>
  </sheetViews>
  <sheetFormatPr baseColWidth="10" defaultRowHeight="27"/>
  <cols>
    <col min="1" max="1" width="6.33203125" style="49" customWidth="1"/>
    <col min="2" max="2" width="19" style="49" customWidth="1"/>
    <col min="3" max="3" width="21.1640625" style="49" customWidth="1"/>
    <col min="4" max="4" width="19.5" style="49" customWidth="1"/>
    <col min="5" max="9" width="22" style="49" bestFit="1" customWidth="1"/>
    <col min="10" max="10" width="21.83203125" style="49" bestFit="1" customWidth="1"/>
    <col min="11" max="11" width="55.33203125" style="49" bestFit="1" customWidth="1"/>
    <col min="12" max="18" width="18.5" style="49" bestFit="1" customWidth="1"/>
    <col min="19" max="16384" width="10.83203125" style="49"/>
  </cols>
  <sheetData>
    <row r="2" spans="2:16" ht="36" thickBot="1">
      <c r="B2" s="114" t="s">
        <v>352</v>
      </c>
      <c r="N2" s="127"/>
    </row>
    <row r="3" spans="2:16">
      <c r="B3" s="740" t="s">
        <v>112</v>
      </c>
      <c r="C3" s="118"/>
      <c r="D3" s="711" t="s">
        <v>341</v>
      </c>
      <c r="E3" s="734" t="s">
        <v>342</v>
      </c>
      <c r="F3" s="734" t="s">
        <v>343</v>
      </c>
      <c r="G3" s="720" t="s">
        <v>344</v>
      </c>
      <c r="H3" s="720" t="s">
        <v>345</v>
      </c>
      <c r="I3" s="720" t="s">
        <v>346</v>
      </c>
      <c r="J3" s="718" t="s">
        <v>347</v>
      </c>
    </row>
    <row r="4" spans="2:16" ht="28" thickBot="1">
      <c r="B4" s="741"/>
      <c r="C4" s="119"/>
      <c r="D4" s="712"/>
      <c r="E4" s="721"/>
      <c r="F4" s="721"/>
      <c r="G4" s="721"/>
      <c r="H4" s="721"/>
      <c r="I4" s="721"/>
      <c r="J4" s="719"/>
    </row>
    <row r="5" spans="2:16">
      <c r="B5" s="160"/>
      <c r="C5" s="118"/>
      <c r="D5" s="143"/>
      <c r="E5" s="143"/>
      <c r="F5" s="143"/>
      <c r="G5" s="143"/>
      <c r="H5" s="143"/>
      <c r="I5" s="143"/>
      <c r="J5" s="112"/>
    </row>
    <row r="6" spans="2:16">
      <c r="B6" s="242" t="str">
        <f>'Forecasted sheet'!$B$18</f>
        <v>NOPAT</v>
      </c>
      <c r="C6" s="121"/>
      <c r="D6" s="125">
        <f>'Forecasted sheet'!L18</f>
        <v>1977.4818658019403</v>
      </c>
      <c r="E6" s="125">
        <f>'Forecasted sheet'!M18</f>
        <v>2026.9189124469888</v>
      </c>
      <c r="F6" s="125">
        <f>'Forecasted sheet'!N18</f>
        <v>2077.5918852581635</v>
      </c>
      <c r="G6" s="125">
        <f>'Forecasted sheet'!O18</f>
        <v>2129.5316823896173</v>
      </c>
      <c r="H6" s="125">
        <f>'Forecasted sheet'!P18</f>
        <v>2182.7699744493575</v>
      </c>
      <c r="I6" s="125">
        <f>'Forecasted sheet'!Q18</f>
        <v>2237.3392238105912</v>
      </c>
      <c r="J6" s="243">
        <f>'Forecasted sheet'!R18</f>
        <v>2293.2727044058556</v>
      </c>
    </row>
    <row r="7" spans="2:16">
      <c r="B7" s="144"/>
      <c r="C7" s="120"/>
      <c r="J7" s="145"/>
    </row>
    <row r="8" spans="2:16">
      <c r="B8" s="244" t="s">
        <v>253</v>
      </c>
      <c r="C8" s="122"/>
      <c r="D8" s="291">
        <f>'Forecasted sheet'!L11</f>
        <v>-368.98004693085022</v>
      </c>
      <c r="E8" s="291">
        <f>'Forecasted sheet'!M11</f>
        <v>-378.20454810412139</v>
      </c>
      <c r="F8" s="291">
        <f>'Forecasted sheet'!N11</f>
        <v>-387.65966180672439</v>
      </c>
      <c r="G8" s="291">
        <f>'Forecasted sheet'!O11</f>
        <v>-397.35115335189244</v>
      </c>
      <c r="H8" s="291">
        <f>'Forecasted sheet'!P11</f>
        <v>-407.2849321856898</v>
      </c>
      <c r="I8" s="291">
        <f>'Forecasted sheet'!Q11</f>
        <v>-417.46705549033203</v>
      </c>
      <c r="J8" s="292">
        <f>'Forecasted sheet'!R11</f>
        <v>-427.90373187759025</v>
      </c>
    </row>
    <row r="9" spans="2:16">
      <c r="B9" s="245" t="s">
        <v>353</v>
      </c>
      <c r="C9" s="123"/>
      <c r="D9" s="293">
        <f>'Forecasted sheet'!L13</f>
        <v>-519.86658505988419</v>
      </c>
      <c r="E9" s="293">
        <f>'Forecasted sheet'!M13</f>
        <v>-532.86324968638121</v>
      </c>
      <c r="F9" s="293">
        <f>'Forecasted sheet'!N13</f>
        <v>-546.18483092854069</v>
      </c>
      <c r="G9" s="293">
        <f>'Forecasted sheet'!O13</f>
        <v>-559.83945170175411</v>
      </c>
      <c r="H9" s="293">
        <f>'Forecasted sheet'!P13</f>
        <v>-573.83543799429799</v>
      </c>
      <c r="I9" s="293">
        <f>'Forecasted sheet'!Q13</f>
        <v>-588.18132394415545</v>
      </c>
      <c r="J9" s="294">
        <f>'Forecasted sheet'!R13</f>
        <v>-602.8858570427592</v>
      </c>
    </row>
    <row r="10" spans="2:16">
      <c r="B10" s="246" t="s">
        <v>402</v>
      </c>
      <c r="C10" s="124"/>
      <c r="D10" s="289">
        <f>'Forecasted sheet'!L15</f>
        <v>-16.2347626038712</v>
      </c>
      <c r="E10" s="289">
        <f>'Forecasted sheet'!M15</f>
        <v>-16.640631668967977</v>
      </c>
      <c r="F10" s="289">
        <f>'Forecasted sheet'!N15</f>
        <v>-17.056647460692176</v>
      </c>
      <c r="G10" s="289">
        <f>'Forecasted sheet'!O15</f>
        <v>-17.483063647209477</v>
      </c>
      <c r="H10" s="289">
        <f>'Forecasted sheet'!P15</f>
        <v>-17.920140238389713</v>
      </c>
      <c r="I10" s="289">
        <f>'Forecasted sheet'!Q15</f>
        <v>-18.368143744349457</v>
      </c>
      <c r="J10" s="290">
        <f>'Forecasted sheet'!R15</f>
        <v>-18.827347337958191</v>
      </c>
    </row>
    <row r="11" spans="2:16">
      <c r="B11" s="144" t="s">
        <v>403</v>
      </c>
      <c r="C11" s="120"/>
      <c r="D11" s="193">
        <f>D10-'Forecasted sheet'!I15</f>
        <v>345.76523739612878</v>
      </c>
      <c r="E11" s="193">
        <f>E10-D10</f>
        <v>-0.40586906509677689</v>
      </c>
      <c r="F11" s="193">
        <f t="shared" ref="F11:J11" si="0">F10-E10</f>
        <v>-0.41601579172419889</v>
      </c>
      <c r="G11" s="193">
        <f t="shared" si="0"/>
        <v>-0.42641618651730084</v>
      </c>
      <c r="H11" s="193">
        <f t="shared" si="0"/>
        <v>-0.43707659118023656</v>
      </c>
      <c r="I11" s="193">
        <f t="shared" si="0"/>
        <v>-0.44800350595974336</v>
      </c>
      <c r="J11" s="194">
        <f t="shared" si="0"/>
        <v>-0.4592035936087342</v>
      </c>
    </row>
    <row r="12" spans="2:16" ht="32" thickBot="1">
      <c r="B12" s="199" t="s">
        <v>351</v>
      </c>
      <c r="C12" s="200"/>
      <c r="D12" s="247">
        <f>(D6-D8)+D9-D11</f>
        <v>1480.8300902767778</v>
      </c>
      <c r="E12" s="247">
        <f t="shared" ref="E12:J12" si="1">(E6-E8)+E9-E11</f>
        <v>1872.6660799298256</v>
      </c>
      <c r="F12" s="247">
        <f t="shared" si="1"/>
        <v>1919.4827319280714</v>
      </c>
      <c r="G12" s="247">
        <f t="shared" si="1"/>
        <v>1967.4698002262728</v>
      </c>
      <c r="H12" s="247">
        <f t="shared" si="1"/>
        <v>2016.6565452319294</v>
      </c>
      <c r="I12" s="247">
        <f t="shared" si="1"/>
        <v>2067.0729588627273</v>
      </c>
      <c r="J12" s="247">
        <f t="shared" si="1"/>
        <v>2118.7497828342957</v>
      </c>
      <c r="N12" s="128"/>
    </row>
    <row r="13" spans="2:16" ht="28" thickTop="1"/>
    <row r="15" spans="2:16">
      <c r="N15" s="129"/>
      <c r="P15" s="126"/>
    </row>
    <row r="17" spans="2:10" ht="36" thickBot="1">
      <c r="B17" s="114" t="s">
        <v>354</v>
      </c>
    </row>
    <row r="18" spans="2:10">
      <c r="B18" s="740" t="s">
        <v>112</v>
      </c>
      <c r="C18" s="118"/>
      <c r="D18" s="711" t="s">
        <v>341</v>
      </c>
      <c r="E18" s="734" t="s">
        <v>342</v>
      </c>
      <c r="F18" s="734" t="s">
        <v>343</v>
      </c>
      <c r="G18" s="720" t="s">
        <v>344</v>
      </c>
      <c r="H18" s="720" t="s">
        <v>345</v>
      </c>
      <c r="I18" s="720" t="s">
        <v>346</v>
      </c>
      <c r="J18" s="720" t="s">
        <v>347</v>
      </c>
    </row>
    <row r="19" spans="2:10" ht="28" thickBot="1">
      <c r="B19" s="741"/>
      <c r="C19" s="189"/>
      <c r="D19" s="712"/>
      <c r="E19" s="721"/>
      <c r="F19" s="721"/>
      <c r="G19" s="721"/>
      <c r="H19" s="721"/>
      <c r="I19" s="721"/>
      <c r="J19" s="721"/>
    </row>
    <row r="20" spans="2:10">
      <c r="B20" s="144"/>
      <c r="C20" s="190"/>
      <c r="J20" s="145"/>
    </row>
    <row r="21" spans="2:10">
      <c r="B21" s="239" t="str">
        <f t="shared" ref="B21:J21" si="2">B12</f>
        <v>FCFF</v>
      </c>
      <c r="C21" s="191"/>
      <c r="D21" s="287">
        <f t="shared" si="2"/>
        <v>1480.8300902767778</v>
      </c>
      <c r="E21" s="287">
        <f t="shared" si="2"/>
        <v>1872.6660799298256</v>
      </c>
      <c r="F21" s="287">
        <f t="shared" si="2"/>
        <v>1919.4827319280714</v>
      </c>
      <c r="G21" s="287">
        <f t="shared" si="2"/>
        <v>1967.4698002262728</v>
      </c>
      <c r="H21" s="287">
        <f t="shared" si="2"/>
        <v>2016.6565452319294</v>
      </c>
      <c r="I21" s="287">
        <f t="shared" si="2"/>
        <v>2067.0729588627273</v>
      </c>
      <c r="J21" s="288">
        <f t="shared" si="2"/>
        <v>2118.7497828342957</v>
      </c>
    </row>
    <row r="22" spans="2:10">
      <c r="B22" s="144"/>
      <c r="C22" s="190"/>
      <c r="J22" s="145"/>
    </row>
    <row r="23" spans="2:10">
      <c r="B23" s="306" t="s">
        <v>392</v>
      </c>
      <c r="C23" s="190"/>
      <c r="D23" s="304">
        <f>1/(1+$G$28)^1</f>
        <v>0.89550308127277656</v>
      </c>
      <c r="E23" s="304">
        <f>1/(1+$G$28)^2</f>
        <v>0.80192576856903708</v>
      </c>
      <c r="F23" s="304">
        <f>1/(1+$G$28)^3</f>
        <v>0.7181269967056122</v>
      </c>
      <c r="G23" s="304">
        <f>1/(1+$G$28)^4</f>
        <v>0.64308493829504088</v>
      </c>
      <c r="H23" s="304">
        <f>1/(1+$G$28)^5</f>
        <v>0.57588454376332254</v>
      </c>
      <c r="I23" s="304">
        <f>1/(1+$G$28)^6</f>
        <v>0.51570638339742247</v>
      </c>
      <c r="J23" s="492">
        <f>1/(1+$G$28)^7</f>
        <v>0.46181665536443167</v>
      </c>
    </row>
    <row r="24" spans="2:10">
      <c r="B24" s="144"/>
      <c r="C24" s="190"/>
      <c r="J24" s="145"/>
    </row>
    <row r="25" spans="2:10">
      <c r="B25" s="306" t="s">
        <v>393</v>
      </c>
      <c r="C25" s="190"/>
      <c r="D25" s="193">
        <f>D21*D23</f>
        <v>1326.0879086842983</v>
      </c>
      <c r="E25" s="193">
        <f t="shared" ref="E25:J25" si="3">E21*E23</f>
        <v>1501.7391854208913</v>
      </c>
      <c r="F25" s="193">
        <f t="shared" si="3"/>
        <v>1378.4323695077896</v>
      </c>
      <c r="G25" s="193">
        <f t="shared" si="3"/>
        <v>1265.250195075869</v>
      </c>
      <c r="H25" s="193">
        <f t="shared" si="3"/>
        <v>1161.3613344782079</v>
      </c>
      <c r="I25" s="193">
        <f t="shared" si="3"/>
        <v>1066.0027198337061</v>
      </c>
      <c r="J25" s="194">
        <f t="shared" si="3"/>
        <v>978.47393826265045</v>
      </c>
    </row>
    <row r="26" spans="2:10" ht="28" thickBot="1">
      <c r="B26" s="144"/>
      <c r="C26" s="120"/>
      <c r="J26" s="145"/>
    </row>
    <row r="27" spans="2:10">
      <c r="B27" s="301" t="s">
        <v>351</v>
      </c>
      <c r="C27" s="118"/>
      <c r="D27" s="143"/>
      <c r="E27" s="143"/>
      <c r="F27" s="143"/>
      <c r="G27" s="302">
        <f>J21</f>
        <v>2118.7497828342957</v>
      </c>
      <c r="H27" s="143"/>
      <c r="I27" s="143"/>
      <c r="J27" s="112"/>
    </row>
    <row r="28" spans="2:10">
      <c r="B28" s="192" t="s">
        <v>355</v>
      </c>
      <c r="C28" s="120"/>
      <c r="G28" s="300">
        <f>Calculatios!$G$48</f>
        <v>0.11669074167640181</v>
      </c>
      <c r="J28" s="145"/>
    </row>
    <row r="29" spans="2:10" ht="28" thickBot="1">
      <c r="B29" s="307" t="s">
        <v>426</v>
      </c>
      <c r="C29" s="119"/>
      <c r="D29" s="147"/>
      <c r="E29" s="147"/>
      <c r="F29" s="147"/>
      <c r="G29" s="303">
        <v>0.06</v>
      </c>
      <c r="H29" s="147"/>
      <c r="I29" s="147"/>
      <c r="J29" s="113"/>
    </row>
    <row r="30" spans="2:10" ht="28" thickBot="1">
      <c r="B30" s="308" t="s">
        <v>394</v>
      </c>
      <c r="C30" s="197"/>
      <c r="D30" s="736">
        <f>J21*(1+G29)/(G28-G29)</f>
        <v>39616.253084570693</v>
      </c>
      <c r="E30" s="736"/>
      <c r="F30" s="736"/>
      <c r="G30" s="736"/>
      <c r="H30" s="736"/>
      <c r="I30" s="736"/>
      <c r="J30" s="737"/>
    </row>
    <row r="31" spans="2:10" ht="28" thickBot="1">
      <c r="B31" s="309" t="s">
        <v>407</v>
      </c>
      <c r="C31" s="197"/>
      <c r="D31" s="736">
        <f>D30*J23</f>
        <v>18295.445497587287</v>
      </c>
      <c r="E31" s="736"/>
      <c r="F31" s="736"/>
      <c r="G31" s="736"/>
      <c r="H31" s="736"/>
      <c r="I31" s="736"/>
      <c r="J31" s="737"/>
    </row>
    <row r="32" spans="2:10">
      <c r="B32" s="310"/>
      <c r="C32" s="120"/>
      <c r="J32" s="145"/>
    </row>
    <row r="33" spans="2:10" ht="28" thickBot="1">
      <c r="B33" s="311" t="s">
        <v>395</v>
      </c>
      <c r="C33" s="201"/>
      <c r="D33" s="738">
        <f>SUM(D25:J25)+D31</f>
        <v>26972.793148850702</v>
      </c>
      <c r="E33" s="738"/>
      <c r="F33" s="738"/>
      <c r="G33" s="738"/>
      <c r="H33" s="738"/>
      <c r="I33" s="738"/>
      <c r="J33" s="739"/>
    </row>
    <row r="34" spans="2:10" ht="28" thickTop="1"/>
    <row r="35" spans="2:10">
      <c r="C35" s="132"/>
    </row>
    <row r="36" spans="2:10">
      <c r="C36" s="171"/>
    </row>
    <row r="39" spans="2:10" ht="36" thickBot="1">
      <c r="B39" s="114" t="s">
        <v>396</v>
      </c>
    </row>
    <row r="40" spans="2:10" ht="28" thickBot="1">
      <c r="B40" s="196" t="s">
        <v>112</v>
      </c>
      <c r="C40" s="202"/>
      <c r="D40" s="203" t="s">
        <v>170</v>
      </c>
    </row>
    <row r="41" spans="2:10">
      <c r="B41" s="240" t="s">
        <v>397</v>
      </c>
      <c r="C41" s="209"/>
      <c r="D41" s="241">
        <f>D33</f>
        <v>26972.793148850702</v>
      </c>
    </row>
    <row r="42" spans="2:10">
      <c r="B42" s="205" t="s">
        <v>398</v>
      </c>
      <c r="C42" s="121"/>
      <c r="D42" s="159">
        <v>578</v>
      </c>
    </row>
    <row r="43" spans="2:10">
      <c r="B43" s="205" t="s">
        <v>422</v>
      </c>
      <c r="C43" s="117"/>
      <c r="D43" s="328">
        <f>Calculatios!$F$103</f>
        <v>-1136.4000000000001</v>
      </c>
      <c r="E43" s="144"/>
    </row>
    <row r="44" spans="2:10">
      <c r="B44" s="205" t="s">
        <v>399</v>
      </c>
      <c r="C44" s="121"/>
      <c r="D44" s="153">
        <v>410</v>
      </c>
    </row>
    <row r="45" spans="2:10">
      <c r="B45" s="157" t="s">
        <v>400</v>
      </c>
      <c r="C45" s="248"/>
      <c r="D45" s="159"/>
    </row>
    <row r="46" spans="2:10" ht="33" thickBot="1">
      <c r="B46" s="312" t="s">
        <v>401</v>
      </c>
      <c r="C46" s="249"/>
      <c r="D46" s="255">
        <f>D41+D42-D43-D44</f>
        <v>28277.193148850703</v>
      </c>
    </row>
    <row r="47" spans="2:10" ht="28" thickTop="1"/>
    <row r="48" spans="2:10" ht="36" thickBot="1">
      <c r="B48" s="114" t="s">
        <v>404</v>
      </c>
      <c r="J48" s="299"/>
    </row>
    <row r="49" spans="2:18" ht="28" thickBot="1">
      <c r="B49" s="196" t="s">
        <v>112</v>
      </c>
      <c r="C49" s="202"/>
      <c r="D49" s="203" t="s">
        <v>170</v>
      </c>
    </row>
    <row r="50" spans="2:18">
      <c r="B50" s="161" t="s">
        <v>401</v>
      </c>
      <c r="C50" s="162"/>
      <c r="D50" s="204">
        <f>$D$46</f>
        <v>28277.193148850703</v>
      </c>
    </row>
    <row r="51" spans="2:18">
      <c r="B51" s="154" t="s">
        <v>405</v>
      </c>
      <c r="C51" s="117"/>
      <c r="D51" s="156">
        <v>177.22</v>
      </c>
    </row>
    <row r="52" spans="2:18" ht="28" thickBot="1">
      <c r="B52" s="503" t="s">
        <v>425</v>
      </c>
      <c r="C52" s="504"/>
      <c r="D52" s="505">
        <f>D50/D51</f>
        <v>159.55983043026015</v>
      </c>
    </row>
    <row r="55" spans="2:18" ht="28" thickBot="1"/>
    <row r="56" spans="2:18" ht="36" thickBot="1">
      <c r="B56" s="313" t="s">
        <v>424</v>
      </c>
      <c r="C56" s="314"/>
      <c r="D56" s="314"/>
      <c r="E56" s="314"/>
      <c r="F56" s="314"/>
      <c r="G56" s="314"/>
      <c r="H56" s="314"/>
      <c r="I56" s="315"/>
      <c r="K56" s="313" t="s">
        <v>424</v>
      </c>
      <c r="L56" s="314"/>
      <c r="M56" s="314"/>
      <c r="N56" s="314"/>
      <c r="O56" s="314"/>
      <c r="P56" s="314"/>
      <c r="Q56" s="314"/>
      <c r="R56" s="315"/>
    </row>
    <row r="57" spans="2:18">
      <c r="B57" s="316">
        <f>D33</f>
        <v>26972.793148850702</v>
      </c>
      <c r="C57" s="317">
        <v>0.09</v>
      </c>
      <c r="D57" s="318">
        <v>9.5000000000000001E-2</v>
      </c>
      <c r="E57" s="317">
        <v>0.10009999999999999</v>
      </c>
      <c r="F57" s="318">
        <v>0.105</v>
      </c>
      <c r="G57" s="317">
        <v>0.11</v>
      </c>
      <c r="H57" s="318">
        <v>0.115</v>
      </c>
      <c r="I57" s="319">
        <v>0.12</v>
      </c>
      <c r="K57" s="493">
        <f>D52</f>
        <v>159.55983043026015</v>
      </c>
      <c r="L57" s="494">
        <v>0.09</v>
      </c>
      <c r="M57" s="495">
        <v>9.5000000000000001E-2</v>
      </c>
      <c r="N57" s="494">
        <v>0.10009999999999999</v>
      </c>
      <c r="O57" s="495">
        <v>0.105</v>
      </c>
      <c r="P57" s="495">
        <v>0.1166</v>
      </c>
      <c r="Q57" s="495">
        <v>0.115</v>
      </c>
      <c r="R57" s="496">
        <v>0.12</v>
      </c>
    </row>
    <row r="58" spans="2:18">
      <c r="B58" s="320">
        <v>0.03</v>
      </c>
      <c r="C58" s="321">
        <f t="dataTable" ref="C58:I64" dt2D="1" dtr="1" r1="G28" r2="G29"/>
        <v>29409.647627794162</v>
      </c>
      <c r="D58" s="321">
        <v>27134.430126053368</v>
      </c>
      <c r="E58" s="321">
        <v>25148.052847142913</v>
      </c>
      <c r="F58" s="321">
        <v>23494.018239108616</v>
      </c>
      <c r="G58" s="321">
        <v>22015.077553060684</v>
      </c>
      <c r="H58" s="321">
        <v>20710.119125275574</v>
      </c>
      <c r="I58" s="322">
        <v>19550.148506912206</v>
      </c>
      <c r="K58" s="497">
        <v>0.03</v>
      </c>
      <c r="L58" s="321">
        <f t="dataTable" ref="L58:R69" dt2D="1" dtr="1" r1="G28" r2="G29" ca="1"/>
        <v>173.31027890641104</v>
      </c>
      <c r="M58" s="321">
        <v>160.47190004544279</v>
      </c>
      <c r="N58" s="321">
        <v>149.26336106050624</v>
      </c>
      <c r="O58" s="321">
        <v>139.93013338849238</v>
      </c>
      <c r="P58" s="321">
        <v>122.04466739156393</v>
      </c>
      <c r="Q58" s="321">
        <v>124.22141476851132</v>
      </c>
      <c r="R58" s="498">
        <v>117.67604393924054</v>
      </c>
    </row>
    <row r="59" spans="2:18">
      <c r="B59" s="323">
        <v>3.5000000000000003E-2</v>
      </c>
      <c r="C59" s="321">
        <v>31323.80106618283</v>
      </c>
      <c r="D59" s="321">
        <v>28710.227430662053</v>
      </c>
      <c r="E59" s="321">
        <v>26457.710185510114</v>
      </c>
      <c r="F59" s="321">
        <v>24602.469760572538</v>
      </c>
      <c r="G59" s="321">
        <v>22959.052682525242</v>
      </c>
      <c r="H59" s="321">
        <v>21520.877714588009</v>
      </c>
      <c r="I59" s="322">
        <v>20251.733198396876</v>
      </c>
      <c r="K59" s="499">
        <v>3.5000000000000003E-2</v>
      </c>
      <c r="L59" s="321">
        <v>184.11128013871365</v>
      </c>
      <c r="M59" s="321">
        <v>169.36365777373916</v>
      </c>
      <c r="N59" s="321">
        <v>156.65336974105696</v>
      </c>
      <c r="O59" s="321">
        <v>146.1847972044495</v>
      </c>
      <c r="P59" s="321">
        <v>126.40925435654312</v>
      </c>
      <c r="Q59" s="321">
        <v>128.79628549028331</v>
      </c>
      <c r="R59" s="498">
        <v>121.6348786728184</v>
      </c>
    </row>
    <row r="60" spans="2:18">
      <c r="B60" s="320">
        <v>0.04</v>
      </c>
      <c r="C60" s="321">
        <v>33620.785192249248</v>
      </c>
      <c r="D60" s="321">
        <v>30572.533336108689</v>
      </c>
      <c r="E60" s="321">
        <v>27985.280558547405</v>
      </c>
      <c r="F60" s="321">
        <v>25881.452285338604</v>
      </c>
      <c r="G60" s="321">
        <v>24037.881401913313</v>
      </c>
      <c r="H60" s="321">
        <v>22439.7374491421</v>
      </c>
      <c r="I60" s="322">
        <v>21041.015976317132</v>
      </c>
      <c r="K60" s="497">
        <v>0.04</v>
      </c>
      <c r="L60" s="321">
        <v>197.07248161747685</v>
      </c>
      <c r="M60" s="321">
        <v>179.87209872536221</v>
      </c>
      <c r="N60" s="327">
        <v>165.27299717045145</v>
      </c>
      <c r="O60" s="321">
        <v>153.40171699209236</v>
      </c>
      <c r="P60" s="321">
        <v>131.3436307425379</v>
      </c>
      <c r="Q60" s="321">
        <v>133.98113897495824</v>
      </c>
      <c r="R60" s="498">
        <v>126.08856774809352</v>
      </c>
    </row>
    <row r="61" spans="2:18">
      <c r="B61" s="323">
        <v>4.4999999999999998E-2</v>
      </c>
      <c r="C61" s="321">
        <v>36428.210235219296</v>
      </c>
      <c r="D61" s="321">
        <v>32807.300422644643</v>
      </c>
      <c r="E61" s="321">
        <v>29790.086933950799</v>
      </c>
      <c r="F61" s="321">
        <v>27373.598564232343</v>
      </c>
      <c r="G61" s="321">
        <v>25282.683770438009</v>
      </c>
      <c r="H61" s="321">
        <v>23489.862860061061</v>
      </c>
      <c r="I61" s="322">
        <v>21935.536457960079</v>
      </c>
      <c r="K61" s="499">
        <v>4.4999999999999998E-2</v>
      </c>
      <c r="L61" s="321">
        <v>212.91395009152069</v>
      </c>
      <c r="M61" s="321">
        <v>192.4822278673098</v>
      </c>
      <c r="N61" s="321">
        <v>175.45698529483579</v>
      </c>
      <c r="O61" s="321">
        <v>161.8214567443423</v>
      </c>
      <c r="P61" s="321">
        <v>136.96716584166037</v>
      </c>
      <c r="Q61" s="321">
        <v>139.90668581458675</v>
      </c>
      <c r="R61" s="498">
        <v>131.13608203340527</v>
      </c>
    </row>
    <row r="62" spans="2:18">
      <c r="B62" s="320">
        <v>0.05</v>
      </c>
      <c r="C62" s="321">
        <v>39937.49153893187</v>
      </c>
      <c r="D62" s="321">
        <v>35538.682417299708</v>
      </c>
      <c r="E62" s="321">
        <v>31955.1341028479</v>
      </c>
      <c r="F62" s="321">
        <v>29137.044166561318</v>
      </c>
      <c r="G62" s="321">
        <v>26734.95320038349</v>
      </c>
      <c r="H62" s="321">
        <v>24701.546026506017</v>
      </c>
      <c r="I62" s="322">
        <v>22957.845579837747</v>
      </c>
      <c r="K62" s="497">
        <v>0.05</v>
      </c>
      <c r="L62" s="321">
        <v>232.71578568407557</v>
      </c>
      <c r="M62" s="321">
        <v>207.89460792969027</v>
      </c>
      <c r="N62" s="321">
        <v>187.673705579776</v>
      </c>
      <c r="O62" s="321">
        <v>171.77205826972869</v>
      </c>
      <c r="P62" s="321">
        <v>143.4350755802908</v>
      </c>
      <c r="Q62" s="321">
        <v>146.74385524492732</v>
      </c>
      <c r="R62" s="498">
        <v>136.90466978804733</v>
      </c>
    </row>
    <row r="63" spans="2:18">
      <c r="B63" s="323">
        <v>5.5E-2</v>
      </c>
      <c r="C63" s="321">
        <v>44449.42464370517</v>
      </c>
      <c r="D63" s="321">
        <v>38952.909910618524</v>
      </c>
      <c r="E63" s="321">
        <v>34600.236076378489</v>
      </c>
      <c r="F63" s="321">
        <v>31253.178889356073</v>
      </c>
      <c r="G63" s="321">
        <v>28451.271617591781</v>
      </c>
      <c r="H63" s="321">
        <v>26115.176387358464</v>
      </c>
      <c r="I63" s="322">
        <v>24137.433028158121</v>
      </c>
      <c r="K63" s="499">
        <v>5.5E-2</v>
      </c>
      <c r="L63" s="321">
        <v>258.17528858878893</v>
      </c>
      <c r="M63" s="321">
        <v>227.16008300766575</v>
      </c>
      <c r="N63" s="321">
        <v>202.59923302323944</v>
      </c>
      <c r="O63" s="321">
        <v>183.71278010019228</v>
      </c>
      <c r="P63" s="321">
        <v>150.95297066610144</v>
      </c>
      <c r="Q63" s="321">
        <v>154.72055291365797</v>
      </c>
      <c r="R63" s="498">
        <v>143.56073258186504</v>
      </c>
    </row>
    <row r="64" spans="2:18" ht="28" thickBot="1">
      <c r="B64" s="324">
        <v>0.06</v>
      </c>
      <c r="C64" s="325">
        <v>50465.335450069571</v>
      </c>
      <c r="D64" s="325">
        <v>43342.63097345701</v>
      </c>
      <c r="E64" s="325">
        <v>37904.964477223446</v>
      </c>
      <c r="F64" s="325">
        <v>33839.565772771894</v>
      </c>
      <c r="G64" s="325">
        <v>30510.853718241735</v>
      </c>
      <c r="H64" s="325">
        <v>27785.830450184083</v>
      </c>
      <c r="I64" s="326">
        <v>25513.618384531896</v>
      </c>
      <c r="K64" s="500">
        <v>0.06</v>
      </c>
      <c r="L64" s="325">
        <v>292.12129246174004</v>
      </c>
      <c r="M64" s="325">
        <v>251.92997953649143</v>
      </c>
      <c r="N64" s="325">
        <v>221.24683713589576</v>
      </c>
      <c r="O64" s="325">
        <v>198.30699567075891</v>
      </c>
      <c r="P64" s="325">
        <v>159.79911576707298</v>
      </c>
      <c r="Q64" s="325">
        <v>164.14755924943057</v>
      </c>
      <c r="R64" s="501">
        <v>151.32613917465238</v>
      </c>
    </row>
    <row r="65" spans="11:18">
      <c r="K65" s="499">
        <v>6.5000000000000002E-2</v>
      </c>
      <c r="L65" s="49">
        <v>339.64569788387178</v>
      </c>
      <c r="M65" s="49">
        <v>284.95650824159242</v>
      </c>
      <c r="N65" s="49">
        <v>245.20714897295562</v>
      </c>
      <c r="O65" s="49">
        <v>216.54976513396718</v>
      </c>
      <c r="P65" s="49">
        <v>170.35963007365919</v>
      </c>
      <c r="Q65" s="49">
        <v>175.45996685235772</v>
      </c>
      <c r="R65" s="446">
        <v>160.50343787521928</v>
      </c>
    </row>
    <row r="66" spans="11:18">
      <c r="K66" s="497">
        <v>7.0000000000000007E-2</v>
      </c>
      <c r="L66" s="49">
        <v>410.93230601706927</v>
      </c>
      <c r="M66" s="49">
        <v>331.19364842873375</v>
      </c>
      <c r="N66" s="49">
        <v>277.12769730073308</v>
      </c>
      <c r="O66" s="49">
        <v>240.00475444380649</v>
      </c>
      <c r="P66" s="49">
        <v>183.18634916706645</v>
      </c>
      <c r="Q66" s="49">
        <v>189.28624281149092</v>
      </c>
      <c r="R66" s="446">
        <v>171.51619631589952</v>
      </c>
    </row>
    <row r="67" spans="11:18">
      <c r="K67" s="499">
        <v>7.4999999999999997E-2</v>
      </c>
      <c r="L67" s="49">
        <v>529.74331957239804</v>
      </c>
      <c r="M67" s="49">
        <v>400.54935870944541</v>
      </c>
      <c r="N67" s="49">
        <v>321.76559555989587</v>
      </c>
      <c r="O67" s="49">
        <v>271.27807352359207</v>
      </c>
      <c r="P67" s="49">
        <v>199.09641419638891</v>
      </c>
      <c r="Q67" s="49">
        <v>206.56908776040729</v>
      </c>
      <c r="R67" s="446">
        <v>184.97623441006425</v>
      </c>
    </row>
    <row r="68" spans="11:18">
      <c r="K68" s="499">
        <v>0.08</v>
      </c>
      <c r="L68" s="49">
        <v>767.3653466830566</v>
      </c>
      <c r="M68" s="49">
        <v>516.14220917729881</v>
      </c>
      <c r="N68" s="49">
        <v>388.61140340073183</v>
      </c>
      <c r="O68" s="49">
        <v>315.06072023529197</v>
      </c>
      <c r="P68" s="49">
        <v>219.35349152880497</v>
      </c>
      <c r="Q68" s="49">
        <v>228.7898884090142</v>
      </c>
      <c r="R68" s="446">
        <v>201.80128202777021</v>
      </c>
    </row>
    <row r="69" spans="11:18" ht="28" thickBot="1">
      <c r="K69" s="502">
        <v>8.5000000000000006E-2</v>
      </c>
      <c r="L69" s="419">
        <v>1480.2314280150331</v>
      </c>
      <c r="M69" s="419">
        <v>747.32791011300549</v>
      </c>
      <c r="N69" s="419">
        <v>499.7259581560287</v>
      </c>
      <c r="O69" s="419">
        <v>380.73469030284184</v>
      </c>
      <c r="P69" s="419">
        <v>246.02103637147923</v>
      </c>
      <c r="Q69" s="419">
        <v>258.41762260715666</v>
      </c>
      <c r="R69" s="447">
        <v>223.43348610767785</v>
      </c>
    </row>
  </sheetData>
  <mergeCells count="19">
    <mergeCell ref="B3:B4"/>
    <mergeCell ref="B18:B19"/>
    <mergeCell ref="D18:D19"/>
    <mergeCell ref="E18:E19"/>
    <mergeCell ref="F18:F19"/>
    <mergeCell ref="D3:D4"/>
    <mergeCell ref="E3:E4"/>
    <mergeCell ref="F3:F4"/>
    <mergeCell ref="I3:I4"/>
    <mergeCell ref="D30:J30"/>
    <mergeCell ref="D31:J31"/>
    <mergeCell ref="D33:J33"/>
    <mergeCell ref="J3:J4"/>
    <mergeCell ref="G18:G19"/>
    <mergeCell ref="H18:H19"/>
    <mergeCell ref="I18:I19"/>
    <mergeCell ref="J18:J19"/>
    <mergeCell ref="G3:G4"/>
    <mergeCell ref="H3:H4"/>
  </mergeCells>
  <conditionalFormatting sqref="B57:I64 K60:M60 O60:R60 K61:R64 K65:K69">
    <cfRule type="cellIs" dxfId="11" priority="13" operator="greaterThan">
      <formula>$E$60</formula>
    </cfRule>
  </conditionalFormatting>
  <conditionalFormatting sqref="C58:I64">
    <cfRule type="top10" dxfId="10" priority="4" bottom="1" rank="1"/>
    <cfRule type="top10" dxfId="9" priority="5" bottom="1" rank="1"/>
    <cfRule type="top10" dxfId="8" priority="6" rank="1"/>
    <cfRule type="cellIs" dxfId="7" priority="12" operator="lessThan">
      <formula>$E$60</formula>
    </cfRule>
  </conditionalFormatting>
  <conditionalFormatting sqref="K57:R59">
    <cfRule type="cellIs" dxfId="6" priority="11" operator="greaterThan">
      <formula>$E$60</formula>
    </cfRule>
  </conditionalFormatting>
  <conditionalFormatting sqref="L58:R59 L60:M60 O60:R60 L61:R64">
    <cfRule type="cellIs" dxfId="5" priority="7" operator="lessThan">
      <formula>$N$60</formula>
    </cfRule>
    <cfRule type="cellIs" dxfId="4" priority="9" operator="greaterThan">
      <formula>$N$60</formula>
    </cfRule>
    <cfRule type="cellIs" dxfId="3" priority="10" operator="lessThan">
      <formula>$E$60</formula>
    </cfRule>
  </conditionalFormatting>
  <conditionalFormatting sqref="L58:R64">
    <cfRule type="cellIs" dxfId="2" priority="3" operator="greaterThan">
      <formula>$P$64</formula>
    </cfRule>
  </conditionalFormatting>
  <conditionalFormatting sqref="L58:R69">
    <cfRule type="top10" dxfId="1" priority="1" rank="3"/>
    <cfRule type="cellIs" dxfId="0" priority="2" operator="greaterThanOrEqual">
      <formula>$P$64</formula>
    </cfRule>
  </conditionalFormatting>
  <pageMargins left="0.7" right="0.7" top="0.75" bottom="0.75" header="0.3" footer="0.3"/>
  <pageSetup paperSize="9" orientation="portrait" horizontalDpi="0" verticalDpi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AE184-1887-124C-B2BB-ECFDA5119BAE}">
  <sheetPr codeName="Sheet8">
    <tabColor theme="3" tint="0.89999084444715716"/>
  </sheetPr>
  <dimension ref="B3:S103"/>
  <sheetViews>
    <sheetView zoomScale="50" workbookViewId="0">
      <selection activeCell="O18" sqref="O18"/>
    </sheetView>
  </sheetViews>
  <sheetFormatPr baseColWidth="10" defaultRowHeight="27"/>
  <cols>
    <col min="1" max="1" width="5.5" style="49" customWidth="1"/>
    <col min="2" max="2" width="39.33203125" style="49" bestFit="1" customWidth="1"/>
    <col min="3" max="3" width="16.1640625" style="49" customWidth="1"/>
    <col min="4" max="4" width="14.33203125" style="49" bestFit="1" customWidth="1"/>
    <col min="5" max="5" width="17.83203125" style="49" customWidth="1"/>
    <col min="6" max="6" width="18" style="49" customWidth="1"/>
    <col min="7" max="7" width="18.33203125" style="49" bestFit="1" customWidth="1"/>
    <col min="8" max="8" width="24.1640625" style="49" customWidth="1"/>
    <col min="9" max="9" width="25.1640625" style="49" customWidth="1"/>
    <col min="10" max="10" width="23.5" style="49" customWidth="1"/>
    <col min="11" max="11" width="29.1640625" style="49" customWidth="1"/>
    <col min="12" max="14" width="10.83203125" style="49"/>
    <col min="15" max="15" width="34.1640625" style="49" bestFit="1" customWidth="1"/>
    <col min="16" max="16384" width="10.83203125" style="49"/>
  </cols>
  <sheetData>
    <row r="3" spans="2:11" ht="33">
      <c r="B3" s="131" t="s">
        <v>372</v>
      </c>
    </row>
    <row r="5" spans="2:11">
      <c r="B5" s="55" t="s">
        <v>112</v>
      </c>
      <c r="C5" s="56"/>
      <c r="D5" s="56"/>
      <c r="E5" s="56"/>
      <c r="F5" s="56"/>
      <c r="G5" s="55">
        <v>2021</v>
      </c>
      <c r="H5" s="55">
        <v>2022</v>
      </c>
      <c r="I5" s="55">
        <v>2023</v>
      </c>
      <c r="J5" s="55">
        <v>2024</v>
      </c>
      <c r="K5" s="55">
        <v>2025</v>
      </c>
    </row>
    <row r="6" spans="2:11">
      <c r="B6" s="57" t="s">
        <v>324</v>
      </c>
      <c r="C6" s="57"/>
      <c r="D6" s="57"/>
      <c r="E6" s="57"/>
      <c r="F6" s="57"/>
      <c r="G6" s="215">
        <v>562</v>
      </c>
      <c r="H6" s="215">
        <v>646</v>
      </c>
      <c r="I6" s="215">
        <v>849</v>
      </c>
      <c r="J6" s="215">
        <v>899</v>
      </c>
      <c r="K6" s="215">
        <v>888</v>
      </c>
    </row>
    <row r="7" spans="2:11">
      <c r="B7" s="57" t="s">
        <v>303</v>
      </c>
      <c r="C7" s="57"/>
      <c r="D7" s="57"/>
      <c r="E7" s="57"/>
      <c r="F7" s="57"/>
      <c r="G7" s="215">
        <v>1734</v>
      </c>
      <c r="H7" s="215">
        <v>1911</v>
      </c>
      <c r="I7" s="215">
        <v>2024</v>
      </c>
      <c r="J7" s="215">
        <v>1947</v>
      </c>
      <c r="K7" s="273">
        <v>2300</v>
      </c>
    </row>
    <row r="8" spans="2:11">
      <c r="B8" s="238" t="str">
        <f>$B$26</f>
        <v>Other operating current assets</v>
      </c>
      <c r="C8" s="57"/>
      <c r="D8" s="57"/>
      <c r="E8" s="57"/>
      <c r="F8" s="57"/>
      <c r="G8" s="272">
        <f t="shared" ref="G8:K8" si="0">C26</f>
        <v>520</v>
      </c>
      <c r="H8" s="272">
        <f t="shared" si="0"/>
        <v>314</v>
      </c>
      <c r="I8" s="272">
        <f t="shared" si="0"/>
        <v>333</v>
      </c>
      <c r="J8" s="272">
        <f t="shared" si="0"/>
        <v>408</v>
      </c>
      <c r="K8" s="274">
        <f t="shared" si="0"/>
        <v>519</v>
      </c>
    </row>
    <row r="9" spans="2:11">
      <c r="B9" s="57"/>
      <c r="C9" s="57"/>
      <c r="D9" s="57"/>
      <c r="E9" s="57"/>
      <c r="F9" s="57"/>
      <c r="G9" s="271"/>
      <c r="H9" s="271"/>
      <c r="I9" s="271"/>
      <c r="J9" s="271"/>
      <c r="K9" s="271"/>
    </row>
    <row r="10" spans="2:11">
      <c r="B10" s="58" t="s">
        <v>326</v>
      </c>
      <c r="C10" s="57"/>
      <c r="D10" s="57"/>
      <c r="E10" s="57"/>
      <c r="F10" s="57"/>
      <c r="G10" s="215">
        <v>1915</v>
      </c>
      <c r="H10" s="215">
        <v>2018</v>
      </c>
      <c r="I10" s="215">
        <v>2187</v>
      </c>
      <c r="J10" s="215">
        <v>2422</v>
      </c>
      <c r="K10" s="215">
        <v>2825</v>
      </c>
    </row>
    <row r="11" spans="2:11">
      <c r="B11" s="275" t="str">
        <f>$B$19</f>
        <v>Other Operating Liabilities</v>
      </c>
      <c r="C11" s="57"/>
      <c r="D11" s="57"/>
      <c r="E11" s="57"/>
      <c r="F11" s="57"/>
      <c r="G11" s="256">
        <f t="shared" ref="G11:K11" si="1">C19</f>
        <v>709</v>
      </c>
      <c r="H11" s="256">
        <f t="shared" si="1"/>
        <v>814</v>
      </c>
      <c r="I11" s="256">
        <f t="shared" si="1"/>
        <v>851</v>
      </c>
      <c r="J11" s="256">
        <f t="shared" si="1"/>
        <v>1027</v>
      </c>
      <c r="K11" s="256">
        <f t="shared" si="1"/>
        <v>1244</v>
      </c>
    </row>
    <row r="12" spans="2:11">
      <c r="C12" s="58"/>
      <c r="D12" s="58"/>
      <c r="E12" s="58"/>
      <c r="F12" s="58"/>
      <c r="G12" s="216"/>
      <c r="H12" s="216"/>
      <c r="I12" s="216"/>
      <c r="J12" s="216"/>
      <c r="K12" s="216"/>
    </row>
    <row r="13" spans="2:11" ht="28" thickBot="1">
      <c r="B13" s="59" t="s">
        <v>330</v>
      </c>
      <c r="C13" s="60"/>
      <c r="D13" s="60"/>
      <c r="E13" s="60"/>
      <c r="F13" s="60"/>
      <c r="G13" s="522">
        <f>SUM(G6:G8)-SUM(G10:G11)</f>
        <v>192</v>
      </c>
      <c r="H13" s="217">
        <f>SUM(H6:H8)-SUM(H10:H11)</f>
        <v>39</v>
      </c>
      <c r="I13" s="217">
        <f>SUM(I6:I8)-SUM(I10:I11)</f>
        <v>168</v>
      </c>
      <c r="J13" s="217">
        <f>SUM(J6:J8)-SUM(J10:J11)</f>
        <v>-195</v>
      </c>
      <c r="K13" s="217">
        <f>SUM(K6:K8)-SUM(K10:K11)</f>
        <v>-362</v>
      </c>
    </row>
    <row r="14" spans="2:11" ht="29" thickTop="1" thickBot="1">
      <c r="B14" s="276"/>
      <c r="G14" s="277"/>
      <c r="H14" s="277"/>
      <c r="I14" s="277"/>
      <c r="J14" s="277"/>
      <c r="K14" s="277"/>
    </row>
    <row r="15" spans="2:11" ht="28" thickBot="1">
      <c r="B15" s="265" t="s">
        <v>327</v>
      </c>
      <c r="C15" s="141"/>
      <c r="D15" s="141"/>
      <c r="E15" s="141"/>
      <c r="F15" s="141"/>
      <c r="G15" s="148"/>
    </row>
    <row r="16" spans="2:11">
      <c r="B16" s="280" t="s">
        <v>328</v>
      </c>
      <c r="C16" s="51">
        <v>43</v>
      </c>
      <c r="D16" s="51">
        <v>37</v>
      </c>
      <c r="E16" s="51">
        <v>9</v>
      </c>
      <c r="F16" s="51">
        <v>33</v>
      </c>
      <c r="G16" s="281">
        <v>28</v>
      </c>
    </row>
    <row r="17" spans="2:11">
      <c r="B17" s="278" t="s">
        <v>329</v>
      </c>
      <c r="C17" s="52">
        <v>666</v>
      </c>
      <c r="D17" s="52">
        <v>777</v>
      </c>
      <c r="E17" s="52">
        <v>842</v>
      </c>
      <c r="F17" s="52">
        <v>994</v>
      </c>
      <c r="G17" s="279">
        <v>1216</v>
      </c>
    </row>
    <row r="18" spans="2:11" ht="28" thickBot="1">
      <c r="B18" s="282"/>
      <c r="C18" s="53"/>
      <c r="D18" s="54"/>
      <c r="E18" s="54"/>
      <c r="F18" s="54"/>
      <c r="G18" s="283"/>
    </row>
    <row r="19" spans="2:11" ht="28" thickBot="1">
      <c r="B19" s="265" t="s">
        <v>327</v>
      </c>
      <c r="C19" s="169">
        <f>SUM(C16:C17)</f>
        <v>709</v>
      </c>
      <c r="D19" s="169">
        <f>SUM(D16:D17)</f>
        <v>814</v>
      </c>
      <c r="E19" s="169">
        <f>SUM(E16:E17)</f>
        <v>851</v>
      </c>
      <c r="F19" s="169">
        <f>SUM(F16:F17)</f>
        <v>1027</v>
      </c>
      <c r="G19" s="284">
        <f>SUM(G16:G17)</f>
        <v>1244</v>
      </c>
    </row>
    <row r="21" spans="2:11" ht="28" thickBot="1"/>
    <row r="22" spans="2:11" ht="28" thickBot="1">
      <c r="B22" s="265" t="s">
        <v>325</v>
      </c>
      <c r="C22" s="141"/>
      <c r="D22" s="141"/>
      <c r="E22" s="141"/>
      <c r="F22" s="141"/>
      <c r="G22" s="148"/>
    </row>
    <row r="23" spans="2:11">
      <c r="B23" s="266"/>
      <c r="C23" s="257"/>
      <c r="D23" s="257"/>
      <c r="E23" s="257"/>
      <c r="F23" s="257"/>
      <c r="G23" s="259"/>
    </row>
    <row r="24" spans="2:11">
      <c r="B24" s="267"/>
      <c r="C24" s="258"/>
      <c r="D24" s="258"/>
      <c r="E24" s="258"/>
      <c r="F24" s="258"/>
      <c r="G24" s="260"/>
    </row>
    <row r="25" spans="2:11" ht="28" thickBot="1">
      <c r="B25" s="268" t="s">
        <v>423</v>
      </c>
      <c r="C25" s="261">
        <v>520</v>
      </c>
      <c r="D25" s="261">
        <v>314</v>
      </c>
      <c r="E25" s="261">
        <v>333</v>
      </c>
      <c r="F25" s="261">
        <v>408</v>
      </c>
      <c r="G25" s="262">
        <v>519</v>
      </c>
    </row>
    <row r="26" spans="2:11" ht="28" thickBot="1">
      <c r="B26" s="265" t="s">
        <v>325</v>
      </c>
      <c r="C26" s="263">
        <f>SUM(C23:C25)</f>
        <v>520</v>
      </c>
      <c r="D26" s="263">
        <f t="shared" ref="D26:G26" si="2">SUM(D23:D25)</f>
        <v>314</v>
      </c>
      <c r="E26" s="263">
        <f t="shared" si="2"/>
        <v>333</v>
      </c>
      <c r="F26" s="263">
        <f t="shared" si="2"/>
        <v>408</v>
      </c>
      <c r="G26" s="264">
        <f t="shared" si="2"/>
        <v>519</v>
      </c>
    </row>
    <row r="29" spans="2:11">
      <c r="B29" s="55" t="s">
        <v>112</v>
      </c>
      <c r="C29" s="56"/>
      <c r="D29" s="56"/>
      <c r="E29" s="56"/>
      <c r="F29" s="56"/>
      <c r="G29" s="62">
        <v>2021</v>
      </c>
      <c r="H29" s="62">
        <v>2022</v>
      </c>
      <c r="I29" s="62">
        <v>2023</v>
      </c>
      <c r="J29" s="62">
        <v>2024</v>
      </c>
      <c r="K29" s="62">
        <v>2025</v>
      </c>
    </row>
    <row r="30" spans="2:11">
      <c r="B30" s="57" t="s">
        <v>332</v>
      </c>
      <c r="C30" s="57"/>
      <c r="D30" s="57"/>
      <c r="E30" s="57"/>
      <c r="F30" s="57"/>
      <c r="G30" s="211">
        <v>2332.17</v>
      </c>
      <c r="H30" s="211">
        <v>2569.69</v>
      </c>
      <c r="I30" s="211">
        <v>2607.9499999999998</v>
      </c>
      <c r="J30" s="211">
        <v>2880.76</v>
      </c>
      <c r="K30" s="211">
        <v>2869.54</v>
      </c>
    </row>
    <row r="31" spans="2:11">
      <c r="B31" s="57" t="s">
        <v>226</v>
      </c>
      <c r="C31" s="57"/>
      <c r="D31" s="57"/>
      <c r="E31" s="57"/>
      <c r="F31" s="57"/>
      <c r="G31" s="63">
        <v>-240.13</v>
      </c>
      <c r="H31" s="63">
        <v>-252.89</v>
      </c>
      <c r="I31" s="63">
        <v>-310.95999999999998</v>
      </c>
      <c r="J31" s="63">
        <v>-399.21</v>
      </c>
      <c r="K31" s="63">
        <v>-445.6</v>
      </c>
    </row>
    <row r="32" spans="2:11">
      <c r="B32" s="57" t="s">
        <v>333</v>
      </c>
      <c r="C32" s="57"/>
      <c r="D32" s="57"/>
      <c r="E32" s="57"/>
      <c r="F32" s="57"/>
      <c r="G32" s="212">
        <f>SUM(G30:G31)</f>
        <v>2092.04</v>
      </c>
      <c r="H32" s="212">
        <f>SUM(H30:H31)</f>
        <v>2316.8000000000002</v>
      </c>
      <c r="I32" s="212">
        <f>SUM(I30:I31)</f>
        <v>2296.9899999999998</v>
      </c>
      <c r="J32" s="212">
        <f>SUM(J30:J31)</f>
        <v>2481.5500000000002</v>
      </c>
      <c r="K32" s="212">
        <f t="shared" ref="K32" si="3">SUM(K30:K31)</f>
        <v>2423.94</v>
      </c>
    </row>
    <row r="33" spans="2:19">
      <c r="B33" s="57" t="s">
        <v>203</v>
      </c>
      <c r="C33" s="57"/>
      <c r="D33" s="57"/>
      <c r="E33" s="57"/>
      <c r="F33" s="57"/>
      <c r="G33" s="63">
        <v>-30.81</v>
      </c>
      <c r="H33" s="63">
        <v>-38.6</v>
      </c>
      <c r="I33" s="63">
        <v>-78.239999999999995</v>
      </c>
      <c r="J33" s="63">
        <v>-124.18</v>
      </c>
      <c r="K33" s="63">
        <v>-163.5</v>
      </c>
    </row>
    <row r="34" spans="2:19">
      <c r="B34" s="57" t="s">
        <v>334</v>
      </c>
      <c r="C34" s="57"/>
      <c r="D34" s="57"/>
      <c r="E34" s="57"/>
      <c r="F34" s="57"/>
      <c r="G34" s="213">
        <f>SUM(G32:G33)</f>
        <v>2061.23</v>
      </c>
      <c r="H34" s="213">
        <f t="shared" ref="H34:K34" si="4">SUM(H32:H33)</f>
        <v>2278.2000000000003</v>
      </c>
      <c r="I34" s="213">
        <f t="shared" si="4"/>
        <v>2218.75</v>
      </c>
      <c r="J34" s="213">
        <f t="shared" si="4"/>
        <v>2357.3700000000003</v>
      </c>
      <c r="K34" s="213">
        <f t="shared" si="4"/>
        <v>2260.44</v>
      </c>
      <c r="L34" s="64"/>
      <c r="N34" s="130"/>
      <c r="O34" s="130"/>
      <c r="P34" s="130"/>
      <c r="Q34" s="130"/>
      <c r="R34" s="130"/>
      <c r="S34" s="47"/>
    </row>
    <row r="35" spans="2:19">
      <c r="B35" s="49" t="s">
        <v>336</v>
      </c>
      <c r="G35" s="211">
        <f>G34*25%</f>
        <v>515.3075</v>
      </c>
      <c r="H35" s="211">
        <f>H34*25%</f>
        <v>569.55000000000007</v>
      </c>
      <c r="I35" s="211">
        <f t="shared" ref="I35:K35" si="5">I34*23%</f>
        <v>510.3125</v>
      </c>
      <c r="J35" s="211">
        <f t="shared" si="5"/>
        <v>542.19510000000014</v>
      </c>
      <c r="K35" s="211">
        <f t="shared" si="5"/>
        <v>519.90120000000002</v>
      </c>
    </row>
    <row r="36" spans="2:19">
      <c r="B36" s="58" t="s">
        <v>335</v>
      </c>
      <c r="C36" s="58"/>
      <c r="D36" s="58"/>
      <c r="E36" s="58"/>
      <c r="F36" s="58"/>
      <c r="G36" s="214">
        <f>G34-G35</f>
        <v>1545.9225000000001</v>
      </c>
      <c r="H36" s="214">
        <f t="shared" ref="H36:K36" si="6">H34-H35</f>
        <v>1708.65</v>
      </c>
      <c r="I36" s="214">
        <f t="shared" si="6"/>
        <v>1708.4375</v>
      </c>
      <c r="J36" s="214">
        <f t="shared" si="6"/>
        <v>1815.1749000000002</v>
      </c>
      <c r="K36" s="214">
        <f t="shared" si="6"/>
        <v>1740.5388</v>
      </c>
    </row>
    <row r="38" spans="2:19">
      <c r="G38" s="64"/>
    </row>
    <row r="39" spans="2:19" ht="28" thickBot="1"/>
    <row r="40" spans="2:19" ht="36" thickBot="1">
      <c r="B40" s="186" t="s">
        <v>356</v>
      </c>
      <c r="C40" s="150"/>
      <c r="D40" s="150"/>
      <c r="E40" s="150"/>
      <c r="F40" s="150"/>
      <c r="G40" s="151"/>
    </row>
    <row r="41" spans="2:19" ht="34">
      <c r="B41" s="161"/>
      <c r="C41" s="184" t="s">
        <v>112</v>
      </c>
      <c r="D41" s="162"/>
      <c r="E41" s="182"/>
      <c r="F41" s="182"/>
      <c r="G41" s="185" t="s">
        <v>391</v>
      </c>
    </row>
    <row r="42" spans="2:19">
      <c r="B42" s="174" t="s">
        <v>357</v>
      </c>
      <c r="C42" s="172" t="s">
        <v>337</v>
      </c>
      <c r="D42" s="115" t="s">
        <v>361</v>
      </c>
      <c r="E42" s="115"/>
      <c r="F42" s="115"/>
      <c r="G42" s="179">
        <f>535*177.22</f>
        <v>94812.7</v>
      </c>
      <c r="H42" s="491" t="s">
        <v>388</v>
      </c>
      <c r="I42" s="57"/>
      <c r="J42" s="57"/>
    </row>
    <row r="43" spans="2:19">
      <c r="B43" s="175" t="s">
        <v>358</v>
      </c>
      <c r="C43" s="173" t="s">
        <v>337</v>
      </c>
      <c r="D43" s="57" t="s">
        <v>362</v>
      </c>
      <c r="E43" s="57"/>
      <c r="F43" s="57"/>
      <c r="G43" s="180">
        <f>304+426</f>
        <v>730</v>
      </c>
    </row>
    <row r="44" spans="2:19">
      <c r="B44" s="175" t="s">
        <v>359</v>
      </c>
      <c r="C44" s="173" t="s">
        <v>337</v>
      </c>
      <c r="D44" s="57" t="s">
        <v>363</v>
      </c>
      <c r="E44" s="57"/>
      <c r="F44" s="57"/>
      <c r="G44" s="180">
        <f>SUM(G42:G43)</f>
        <v>95542.7</v>
      </c>
    </row>
    <row r="45" spans="2:19" ht="28" thickBot="1">
      <c r="B45" s="175" t="s">
        <v>536</v>
      </c>
      <c r="C45" s="173" t="s">
        <v>337</v>
      </c>
      <c r="D45" s="57" t="s">
        <v>364</v>
      </c>
      <c r="E45" s="57"/>
      <c r="F45" s="57"/>
      <c r="G45" s="253">
        <f>$F$60</f>
        <v>0.11712722583331089</v>
      </c>
    </row>
    <row r="46" spans="2:19" ht="28" thickBot="1">
      <c r="B46" s="175" t="s">
        <v>535</v>
      </c>
      <c r="C46" s="173" t="s">
        <v>337</v>
      </c>
      <c r="D46" s="57" t="s">
        <v>365</v>
      </c>
      <c r="E46" s="57"/>
      <c r="F46" s="57"/>
      <c r="G46" s="254">
        <f>$F$70</f>
        <v>0.06</v>
      </c>
      <c r="H46" s="169" t="s">
        <v>389</v>
      </c>
      <c r="I46" s="183"/>
      <c r="J46" s="183"/>
    </row>
    <row r="47" spans="2:19" ht="28" thickBot="1">
      <c r="B47" s="176" t="s">
        <v>360</v>
      </c>
      <c r="C47" s="177" t="s">
        <v>337</v>
      </c>
      <c r="D47" s="178" t="s">
        <v>366</v>
      </c>
      <c r="E47" s="178"/>
      <c r="F47" s="178"/>
      <c r="G47" s="181">
        <v>0.25</v>
      </c>
    </row>
    <row r="48" spans="2:19">
      <c r="E48" s="742" t="s">
        <v>355</v>
      </c>
      <c r="F48" s="744" t="s">
        <v>337</v>
      </c>
      <c r="G48" s="746">
        <f>(G42/G44*G45)+(G43/G44*G46)</f>
        <v>0.11669074167640181</v>
      </c>
    </row>
    <row r="49" spans="2:9" ht="28" thickBot="1">
      <c r="E49" s="743"/>
      <c r="F49" s="745"/>
      <c r="G49" s="747"/>
      <c r="H49" s="49" t="s">
        <v>537</v>
      </c>
    </row>
    <row r="51" spans="2:9">
      <c r="G51" s="139">
        <f>(G42/G44*G45)+(G43/G44*G46*(1-G47))</f>
        <v>0.11657613323431257</v>
      </c>
    </row>
    <row r="53" spans="2:9" ht="28" thickBot="1"/>
    <row r="54" spans="2:9" ht="28" thickBot="1">
      <c r="B54" s="165" t="s">
        <v>364</v>
      </c>
      <c r="C54" s="150"/>
      <c r="D54" s="187" t="s">
        <v>387</v>
      </c>
      <c r="E54" s="150"/>
      <c r="F54" s="150"/>
      <c r="G54" s="150"/>
      <c r="H54" s="150"/>
      <c r="I54" s="151"/>
    </row>
    <row r="55" spans="2:9">
      <c r="B55" s="161"/>
      <c r="C55" s="162"/>
      <c r="D55" s="162"/>
      <c r="E55" s="162"/>
      <c r="F55" s="162"/>
      <c r="G55" s="162"/>
      <c r="H55" s="162"/>
      <c r="I55" s="163"/>
    </row>
    <row r="56" spans="2:9">
      <c r="B56" s="154" t="s">
        <v>368</v>
      </c>
      <c r="C56" s="117"/>
      <c r="D56" s="117"/>
      <c r="E56" s="117" t="s">
        <v>337</v>
      </c>
      <c r="F56" s="164">
        <v>7.1999999999999995E-2</v>
      </c>
      <c r="G56" s="117"/>
      <c r="H56" s="117"/>
      <c r="I56" s="156"/>
    </row>
    <row r="57" spans="2:9">
      <c r="B57" s="250" t="s">
        <v>369</v>
      </c>
      <c r="C57" s="251"/>
      <c r="D57" s="251"/>
      <c r="E57" s="251" t="s">
        <v>337</v>
      </c>
      <c r="F57" s="252">
        <f>'Beta Calculation'!$N$9</f>
        <v>0.5785541773501397</v>
      </c>
      <c r="G57" s="251"/>
      <c r="H57" s="117"/>
      <c r="I57" s="156"/>
    </row>
    <row r="58" spans="2:9">
      <c r="B58" s="154" t="s">
        <v>370</v>
      </c>
      <c r="C58" s="117"/>
      <c r="D58" s="117"/>
      <c r="E58" s="117" t="s">
        <v>337</v>
      </c>
      <c r="F58" s="164">
        <v>0.15</v>
      </c>
      <c r="G58" s="117"/>
      <c r="H58" s="117"/>
      <c r="I58" s="156"/>
    </row>
    <row r="59" spans="2:9" ht="28" thickBot="1">
      <c r="B59" s="157"/>
      <c r="C59" s="158"/>
      <c r="D59" s="158"/>
      <c r="E59" s="158"/>
      <c r="F59" s="158"/>
      <c r="G59" s="158"/>
      <c r="H59" s="158"/>
      <c r="I59" s="159"/>
    </row>
    <row r="60" spans="2:9" ht="28" thickBot="1">
      <c r="B60" s="166" t="s">
        <v>364</v>
      </c>
      <c r="C60" s="167"/>
      <c r="D60" s="167"/>
      <c r="E60" s="167"/>
      <c r="F60" s="170">
        <f>F56+F57*(F58-F56)</f>
        <v>0.11712722583331089</v>
      </c>
      <c r="G60" s="167"/>
      <c r="H60" s="167"/>
      <c r="I60" s="168"/>
    </row>
    <row r="63" spans="2:9" ht="28" thickBot="1"/>
    <row r="64" spans="2:9" ht="28" thickBot="1">
      <c r="B64" s="165" t="s">
        <v>365</v>
      </c>
      <c r="C64" s="150"/>
      <c r="D64" s="187" t="s">
        <v>389</v>
      </c>
      <c r="E64" s="150"/>
      <c r="F64" s="150"/>
      <c r="G64" s="150"/>
      <c r="H64" s="150"/>
      <c r="I64" s="151"/>
    </row>
    <row r="65" spans="2:11">
      <c r="B65" s="161"/>
      <c r="C65" s="162"/>
      <c r="D65" s="162"/>
      <c r="E65" s="162"/>
      <c r="F65" s="162"/>
      <c r="G65" s="162"/>
      <c r="H65" s="162"/>
      <c r="I65" s="163"/>
    </row>
    <row r="66" spans="2:11">
      <c r="B66" s="154" t="s">
        <v>203</v>
      </c>
      <c r="C66" s="117"/>
      <c r="D66" s="117"/>
      <c r="E66" s="117" t="s">
        <v>337</v>
      </c>
      <c r="F66" s="188">
        <f>Sheet6!B27</f>
        <v>163.5</v>
      </c>
      <c r="G66" s="117"/>
      <c r="H66" s="117"/>
      <c r="I66" s="156"/>
      <c r="K66" s="139"/>
    </row>
    <row r="67" spans="2:11">
      <c r="B67" s="154" t="s">
        <v>273</v>
      </c>
      <c r="C67" s="117"/>
      <c r="D67" s="117"/>
      <c r="E67" s="117" t="s">
        <v>337</v>
      </c>
      <c r="F67" s="155">
        <v>1120</v>
      </c>
      <c r="G67" s="117"/>
      <c r="H67" s="117"/>
      <c r="I67" s="156"/>
    </row>
    <row r="68" spans="2:11">
      <c r="B68" s="154" t="s">
        <v>390</v>
      </c>
      <c r="C68" s="117"/>
      <c r="D68" s="117"/>
      <c r="E68" s="117" t="s">
        <v>337</v>
      </c>
      <c r="F68" s="164">
        <f>G47</f>
        <v>0.25</v>
      </c>
      <c r="G68" s="117"/>
      <c r="H68" s="117"/>
      <c r="I68" s="156"/>
    </row>
    <row r="69" spans="2:11" ht="28" thickBot="1">
      <c r="B69" s="157"/>
      <c r="C69" s="158"/>
      <c r="D69" s="158"/>
      <c r="E69" s="158"/>
      <c r="F69" s="158"/>
      <c r="G69" s="158"/>
      <c r="H69" s="158"/>
      <c r="I69" s="159"/>
    </row>
    <row r="70" spans="2:11" ht="28" thickBot="1">
      <c r="B70" s="166" t="s">
        <v>365</v>
      </c>
      <c r="C70" s="167"/>
      <c r="D70" s="167"/>
      <c r="E70" s="167"/>
      <c r="F70" s="170">
        <f>8%*(1-F68)</f>
        <v>0.06</v>
      </c>
      <c r="G70" s="167"/>
      <c r="H70" s="167"/>
      <c r="I70" s="168"/>
    </row>
    <row r="72" spans="2:11" ht="28" thickBot="1"/>
    <row r="73" spans="2:11" ht="28" thickBot="1">
      <c r="B73" s="165" t="s">
        <v>406</v>
      </c>
      <c r="C73" s="150"/>
      <c r="D73" s="150"/>
      <c r="E73" s="150"/>
      <c r="F73" s="150"/>
      <c r="G73" s="150"/>
      <c r="H73" s="150"/>
      <c r="I73" s="151"/>
    </row>
    <row r="75" spans="2:11">
      <c r="B75" s="49" t="s">
        <v>408</v>
      </c>
      <c r="F75" s="49">
        <v>7.88</v>
      </c>
    </row>
    <row r="85" spans="2:9" ht="28" thickBot="1"/>
    <row r="86" spans="2:9" ht="28" thickBot="1">
      <c r="B86" s="165" t="s">
        <v>409</v>
      </c>
      <c r="C86" s="150" t="s">
        <v>410</v>
      </c>
      <c r="D86" s="150"/>
      <c r="E86" s="150"/>
      <c r="F86" s="150"/>
      <c r="G86" s="150"/>
      <c r="H86" s="150"/>
      <c r="I86" s="151"/>
    </row>
    <row r="87" spans="2:9">
      <c r="B87" s="161" t="s">
        <v>411</v>
      </c>
      <c r="C87" s="162"/>
      <c r="D87" s="162"/>
      <c r="E87" s="209">
        <v>426.09</v>
      </c>
      <c r="F87" s="163"/>
    </row>
    <row r="88" spans="2:9">
      <c r="B88" s="154" t="s">
        <v>412</v>
      </c>
      <c r="C88" s="117"/>
      <c r="D88" s="117"/>
      <c r="E88" s="121">
        <v>304.02999999999997</v>
      </c>
      <c r="F88" s="156"/>
    </row>
    <row r="89" spans="2:9">
      <c r="B89" s="154" t="s">
        <v>416</v>
      </c>
      <c r="C89" s="117"/>
      <c r="D89" s="117"/>
      <c r="E89" s="121">
        <f>181.92+38.33</f>
        <v>220.25</v>
      </c>
      <c r="F89" s="296">
        <f>SUM(E87:E89)</f>
        <v>950.36999999999989</v>
      </c>
    </row>
    <row r="90" spans="2:9">
      <c r="B90" s="154"/>
      <c r="C90" s="117"/>
      <c r="D90" s="117"/>
      <c r="E90" s="121"/>
      <c r="F90" s="156"/>
    </row>
    <row r="91" spans="2:9">
      <c r="B91" s="154"/>
      <c r="C91" s="117"/>
      <c r="D91" s="117"/>
      <c r="E91" s="121"/>
      <c r="F91" s="156"/>
    </row>
    <row r="92" spans="2:9">
      <c r="B92" s="154"/>
      <c r="C92" s="117"/>
      <c r="D92" s="117"/>
      <c r="E92" s="121"/>
      <c r="F92" s="156"/>
    </row>
    <row r="93" spans="2:9">
      <c r="B93" s="154"/>
      <c r="C93" s="117"/>
      <c r="D93" s="117"/>
      <c r="E93" s="121"/>
      <c r="F93" s="297"/>
    </row>
    <row r="94" spans="2:9">
      <c r="B94" s="154" t="s">
        <v>413</v>
      </c>
      <c r="C94" s="117"/>
      <c r="D94" s="117"/>
      <c r="E94" s="121"/>
      <c r="F94" s="156"/>
    </row>
    <row r="95" spans="2:9">
      <c r="B95" s="154"/>
      <c r="C95" s="117" t="s">
        <v>414</v>
      </c>
      <c r="D95" s="117"/>
      <c r="E95" s="298">
        <v>1372</v>
      </c>
      <c r="F95" s="156"/>
    </row>
    <row r="96" spans="2:9">
      <c r="B96" s="154"/>
      <c r="C96" s="117" t="s">
        <v>415</v>
      </c>
      <c r="D96" s="117"/>
      <c r="E96" s="298">
        <v>117.58</v>
      </c>
      <c r="F96" s="156"/>
    </row>
    <row r="97" spans="2:6">
      <c r="B97" s="154"/>
      <c r="C97" s="117" t="s">
        <v>417</v>
      </c>
      <c r="D97" s="117"/>
      <c r="E97" s="298">
        <v>26.62</v>
      </c>
      <c r="F97" s="156"/>
    </row>
    <row r="98" spans="2:6">
      <c r="B98" s="154"/>
      <c r="C98" s="117" t="s">
        <v>418</v>
      </c>
      <c r="D98" s="117"/>
      <c r="E98" s="298">
        <v>313.58</v>
      </c>
      <c r="F98" s="156"/>
    </row>
    <row r="99" spans="2:6">
      <c r="B99" s="154"/>
      <c r="C99" s="117" t="s">
        <v>419</v>
      </c>
      <c r="D99" s="117"/>
      <c r="E99" s="298">
        <v>145.61000000000001</v>
      </c>
      <c r="F99" s="156"/>
    </row>
    <row r="100" spans="2:6">
      <c r="B100" s="154"/>
      <c r="C100" s="117" t="s">
        <v>420</v>
      </c>
      <c r="D100" s="117"/>
      <c r="E100" s="298">
        <v>111.38</v>
      </c>
      <c r="F100" s="156"/>
    </row>
    <row r="101" spans="2:6">
      <c r="B101" s="154"/>
      <c r="C101" s="117"/>
      <c r="D101" s="117"/>
      <c r="E101" s="298">
        <f>SUM(E95:E100)</f>
        <v>2086.77</v>
      </c>
      <c r="F101" s="296">
        <f>$E$101</f>
        <v>2086.77</v>
      </c>
    </row>
    <row r="102" spans="2:6" ht="28" thickBot="1">
      <c r="B102" s="206"/>
      <c r="C102" s="207"/>
      <c r="D102" s="207"/>
      <c r="E102" s="210"/>
      <c r="F102" s="208"/>
    </row>
    <row r="103" spans="2:6" ht="28" thickBot="1">
      <c r="C103" s="195" t="s">
        <v>421</v>
      </c>
      <c r="D103" s="147"/>
      <c r="E103" s="147"/>
      <c r="F103" s="295">
        <f>F89-F93-F101</f>
        <v>-1136.4000000000001</v>
      </c>
    </row>
  </sheetData>
  <mergeCells count="3">
    <mergeCell ref="E48:E49"/>
    <mergeCell ref="F48:F49"/>
    <mergeCell ref="G48:G49"/>
  </mergeCells>
  <pageMargins left="0.7" right="0.7" top="0.75" bottom="0.75" header="0.3" footer="0.3"/>
  <pageSetup paperSize="9"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1FD60-FD99-D247-B622-65E39231D7C0}">
  <sheetPr codeName="Sheet9">
    <tabColor theme="3" tint="0.89999084444715716"/>
  </sheetPr>
  <dimension ref="B1:O254"/>
  <sheetViews>
    <sheetView zoomScale="75" workbookViewId="0">
      <selection activeCell="F174" sqref="F174"/>
    </sheetView>
  </sheetViews>
  <sheetFormatPr baseColWidth="10" defaultRowHeight="27"/>
  <cols>
    <col min="1" max="1" width="2.1640625" style="49" customWidth="1"/>
    <col min="2" max="2" width="23.33203125" style="49" customWidth="1"/>
    <col min="3" max="3" width="11" style="49" bestFit="1" customWidth="1"/>
    <col min="4" max="4" width="15.5" style="49" bestFit="1" customWidth="1"/>
    <col min="5" max="5" width="15.6640625" style="49" bestFit="1" customWidth="1"/>
    <col min="6" max="6" width="16.1640625" style="49" bestFit="1" customWidth="1"/>
    <col min="7" max="7" width="18.6640625" style="49" bestFit="1" customWidth="1"/>
    <col min="8" max="8" width="10.83203125" style="49"/>
    <col min="9" max="9" width="14.5" style="49" bestFit="1" customWidth="1"/>
    <col min="10" max="11" width="10.83203125" style="49"/>
    <col min="12" max="12" width="23.33203125" style="49" customWidth="1"/>
    <col min="13" max="13" width="10.83203125" style="49"/>
    <col min="14" max="14" width="12.33203125" style="49" bestFit="1" customWidth="1"/>
    <col min="15" max="16384" width="10.83203125" style="49"/>
  </cols>
  <sheetData>
    <row r="1" spans="2:15" ht="34" customHeight="1">
      <c r="B1" s="748" t="s">
        <v>373</v>
      </c>
      <c r="C1" s="748"/>
      <c r="D1" s="748"/>
    </row>
    <row r="2" spans="2:15" ht="34" customHeight="1">
      <c r="B2" s="748"/>
      <c r="C2" s="748"/>
      <c r="D2" s="748"/>
    </row>
    <row r="3" spans="2:15" ht="28" thickBot="1">
      <c r="B3" s="133" t="s">
        <v>374</v>
      </c>
      <c r="C3" s="134" t="s">
        <v>376</v>
      </c>
      <c r="D3" s="135" t="s">
        <v>375</v>
      </c>
      <c r="F3" s="116" t="s">
        <v>377</v>
      </c>
      <c r="G3" s="116" t="s">
        <v>378</v>
      </c>
      <c r="J3" s="748" t="s">
        <v>373</v>
      </c>
      <c r="K3" s="748"/>
      <c r="L3" s="748"/>
    </row>
    <row r="4" spans="2:15" ht="29" thickTop="1" thickBot="1">
      <c r="B4" s="136">
        <v>45505</v>
      </c>
      <c r="C4" s="137">
        <v>642.95000000000005</v>
      </c>
      <c r="D4" s="138">
        <v>25010.9</v>
      </c>
      <c r="J4" s="748"/>
      <c r="K4" s="748"/>
      <c r="L4" s="748"/>
    </row>
    <row r="5" spans="2:15" ht="28" thickBot="1">
      <c r="B5" s="136">
        <v>45506</v>
      </c>
      <c r="C5" s="137">
        <v>627.29999999999995</v>
      </c>
      <c r="D5" s="138">
        <v>24717.7</v>
      </c>
      <c r="F5" s="140">
        <f>(C5-C4)/C4</f>
        <v>-2.434092853254544E-2</v>
      </c>
      <c r="G5" s="140">
        <f>(D5-D4)/D4</f>
        <v>-1.1722888820474302E-2</v>
      </c>
      <c r="I5" s="142" t="s">
        <v>383</v>
      </c>
      <c r="J5" s="143" t="s">
        <v>379</v>
      </c>
      <c r="K5" s="143"/>
      <c r="L5" s="143"/>
      <c r="M5" s="143"/>
      <c r="N5" s="112">
        <f>_xlfn.STDEV.P(F5:F254)</f>
        <v>1.3349676989589708E-2</v>
      </c>
    </row>
    <row r="6" spans="2:15">
      <c r="B6" s="136">
        <v>45509</v>
      </c>
      <c r="C6" s="137">
        <v>634.04999999999995</v>
      </c>
      <c r="D6" s="138">
        <v>24055.599999999999</v>
      </c>
      <c r="F6" s="140">
        <f>(C6-C5)/C5</f>
        <v>1.0760401721664276E-2</v>
      </c>
      <c r="G6" s="140">
        <f t="shared" ref="G6:G69" si="0">(D6-D5)/D5</f>
        <v>-2.6786472851438529E-2</v>
      </c>
      <c r="I6" s="144"/>
      <c r="J6" s="49" t="s">
        <v>380</v>
      </c>
      <c r="N6" s="145">
        <f>_xlfn.STDEV.P(G5:G255)</f>
        <v>8.5056988404256257E-3</v>
      </c>
    </row>
    <row r="7" spans="2:15">
      <c r="B7" s="136">
        <v>45510</v>
      </c>
      <c r="C7" s="137">
        <v>629.1</v>
      </c>
      <c r="D7" s="138">
        <v>23992.55</v>
      </c>
      <c r="F7" s="140">
        <f>(C7-C6)/C6</f>
        <v>-7.8069552874377923E-3</v>
      </c>
      <c r="G7" s="140">
        <f t="shared" si="0"/>
        <v>-2.6210113237665773E-3</v>
      </c>
      <c r="I7" s="144"/>
      <c r="J7" s="49" t="s">
        <v>381</v>
      </c>
      <c r="N7" s="145">
        <f>CORREL(F5:F254,G5:G254)</f>
        <v>0.36862372020296563</v>
      </c>
    </row>
    <row r="8" spans="2:15" ht="28" thickBot="1">
      <c r="B8" s="136">
        <v>45511</v>
      </c>
      <c r="C8" s="137">
        <v>639.4</v>
      </c>
      <c r="D8" s="138">
        <v>24297.5</v>
      </c>
      <c r="F8" s="140">
        <f t="shared" ref="F8:F71" si="1">(C8-C7)/C7</f>
        <v>1.637259577173733E-2</v>
      </c>
      <c r="G8" s="140">
        <f t="shared" si="0"/>
        <v>1.2710195456506321E-2</v>
      </c>
      <c r="I8" s="144"/>
      <c r="N8" s="145"/>
    </row>
    <row r="9" spans="2:15" ht="28" thickBot="1">
      <c r="B9" s="136">
        <v>45512</v>
      </c>
      <c r="C9" s="137">
        <v>637.25</v>
      </c>
      <c r="D9" s="138">
        <v>24117</v>
      </c>
      <c r="F9" s="140">
        <f t="shared" si="1"/>
        <v>-3.3625273694087854E-3</v>
      </c>
      <c r="G9" s="140">
        <f t="shared" si="0"/>
        <v>-7.428747813561066E-3</v>
      </c>
      <c r="I9" s="146"/>
      <c r="J9" s="149" t="s">
        <v>382</v>
      </c>
      <c r="K9" s="150"/>
      <c r="L9" s="150"/>
      <c r="M9" s="150"/>
      <c r="N9" s="329">
        <f>N7*N5/N6</f>
        <v>0.5785541773501397</v>
      </c>
      <c r="O9" s="50" t="s">
        <v>385</v>
      </c>
    </row>
    <row r="10" spans="2:15" ht="28" thickBot="1">
      <c r="B10" s="136">
        <v>45513</v>
      </c>
      <c r="C10" s="137">
        <v>624.04999999999995</v>
      </c>
      <c r="D10" s="138">
        <v>24367.5</v>
      </c>
      <c r="F10" s="140">
        <f t="shared" si="1"/>
        <v>-2.0714005492350012E-2</v>
      </c>
      <c r="G10" s="140">
        <f t="shared" si="0"/>
        <v>1.0386864037815649E-2</v>
      </c>
    </row>
    <row r="11" spans="2:15" ht="28" thickBot="1">
      <c r="B11" s="136">
        <v>45516</v>
      </c>
      <c r="C11" s="137">
        <v>620.29999999999995</v>
      </c>
      <c r="D11" s="138">
        <v>24347</v>
      </c>
      <c r="F11" s="140">
        <f t="shared" si="1"/>
        <v>-6.0091338835029252E-3</v>
      </c>
      <c r="G11" s="140">
        <f t="shared" si="0"/>
        <v>-8.412844977941931E-4</v>
      </c>
      <c r="I11" s="142" t="s">
        <v>384</v>
      </c>
      <c r="J11" s="149" t="s">
        <v>382</v>
      </c>
      <c r="K11" s="150"/>
      <c r="L11" s="150"/>
      <c r="M11" s="150"/>
      <c r="N11" s="152">
        <f>SLOPE(F5:F254,G5:G254)</f>
        <v>0.57855417735013936</v>
      </c>
      <c r="O11" s="50" t="s">
        <v>386</v>
      </c>
    </row>
    <row r="12" spans="2:15">
      <c r="B12" s="136">
        <v>45517</v>
      </c>
      <c r="C12" s="137">
        <v>606.15</v>
      </c>
      <c r="D12" s="138">
        <v>24139</v>
      </c>
      <c r="F12" s="140">
        <f t="shared" si="1"/>
        <v>-2.2811542801870029E-2</v>
      </c>
      <c r="G12" s="140">
        <f t="shared" si="0"/>
        <v>-8.5431469996303452E-3</v>
      </c>
    </row>
    <row r="13" spans="2:15">
      <c r="B13" s="136">
        <v>45518</v>
      </c>
      <c r="C13" s="137">
        <v>604.25</v>
      </c>
      <c r="D13" s="138">
        <v>24143.75</v>
      </c>
      <c r="F13" s="140">
        <f t="shared" si="1"/>
        <v>-3.1345376556957474E-3</v>
      </c>
      <c r="G13" s="140">
        <f t="shared" si="0"/>
        <v>1.9677699987571978E-4</v>
      </c>
      <c r="I13" s="49" t="s">
        <v>370</v>
      </c>
      <c r="N13" s="132">
        <v>0.12</v>
      </c>
    </row>
    <row r="14" spans="2:15">
      <c r="B14" s="136">
        <v>45520</v>
      </c>
      <c r="C14" s="137">
        <v>617.35</v>
      </c>
      <c r="D14" s="138">
        <v>24541.15</v>
      </c>
      <c r="F14" s="140">
        <f t="shared" si="1"/>
        <v>2.167976830781965E-2</v>
      </c>
      <c r="G14" s="140">
        <f t="shared" si="0"/>
        <v>1.6459746311157191E-2</v>
      </c>
    </row>
    <row r="15" spans="2:15">
      <c r="B15" s="136">
        <v>45523</v>
      </c>
      <c r="C15" s="137">
        <v>621.20000000000005</v>
      </c>
      <c r="D15" s="138">
        <v>24572.65</v>
      </c>
      <c r="F15" s="140">
        <f t="shared" si="1"/>
        <v>6.23633271239981E-3</v>
      </c>
      <c r="G15" s="140">
        <f t="shared" si="0"/>
        <v>1.2835584314508488E-3</v>
      </c>
    </row>
    <row r="16" spans="2:15">
      <c r="B16" s="136">
        <v>45524</v>
      </c>
      <c r="C16" s="137">
        <v>623.1</v>
      </c>
      <c r="D16" s="138">
        <v>24698.85</v>
      </c>
      <c r="F16" s="140">
        <f t="shared" si="1"/>
        <v>3.0585962652929445E-3</v>
      </c>
      <c r="G16" s="140">
        <f t="shared" si="0"/>
        <v>5.135791215029599E-3</v>
      </c>
    </row>
    <row r="17" spans="2:7">
      <c r="B17" s="136">
        <v>45525</v>
      </c>
      <c r="C17" s="137">
        <v>634.5</v>
      </c>
      <c r="D17" s="138">
        <v>24770.2</v>
      </c>
      <c r="F17" s="140">
        <f t="shared" si="1"/>
        <v>1.8295618680789563E-2</v>
      </c>
      <c r="G17" s="140">
        <f t="shared" si="0"/>
        <v>2.8887984663254437E-3</v>
      </c>
    </row>
    <row r="18" spans="2:7">
      <c r="B18" s="136">
        <v>45526</v>
      </c>
      <c r="C18" s="137">
        <v>645.75</v>
      </c>
      <c r="D18" s="138">
        <v>24811.5</v>
      </c>
      <c r="F18" s="140">
        <f t="shared" si="1"/>
        <v>1.7730496453900711E-2</v>
      </c>
      <c r="G18" s="140">
        <f t="shared" si="0"/>
        <v>1.6673260611540994E-3</v>
      </c>
    </row>
    <row r="19" spans="2:7">
      <c r="B19" s="136">
        <v>45527</v>
      </c>
      <c r="C19" s="137">
        <v>643.35</v>
      </c>
      <c r="D19" s="138">
        <v>24823.15</v>
      </c>
      <c r="F19" s="140">
        <f t="shared" si="1"/>
        <v>-3.71660859465734E-3</v>
      </c>
      <c r="G19" s="140">
        <f t="shared" si="0"/>
        <v>4.6954033411931789E-4</v>
      </c>
    </row>
    <row r="20" spans="2:7">
      <c r="B20" s="136">
        <v>45530</v>
      </c>
      <c r="C20" s="137">
        <v>654.54999999999995</v>
      </c>
      <c r="D20" s="138">
        <v>25010.6</v>
      </c>
      <c r="F20" s="140">
        <f t="shared" si="1"/>
        <v>1.7408875417735184E-2</v>
      </c>
      <c r="G20" s="140">
        <f t="shared" si="0"/>
        <v>7.5514187361393325E-3</v>
      </c>
    </row>
    <row r="21" spans="2:7">
      <c r="B21" s="136">
        <v>45531</v>
      </c>
      <c r="C21" s="137">
        <v>643.25</v>
      </c>
      <c r="D21" s="138">
        <v>25017.75</v>
      </c>
      <c r="F21" s="140">
        <f t="shared" si="1"/>
        <v>-1.7263769001604087E-2</v>
      </c>
      <c r="G21" s="140">
        <f t="shared" si="0"/>
        <v>2.8587878739420311E-4</v>
      </c>
    </row>
    <row r="22" spans="2:7">
      <c r="B22" s="136">
        <v>45532</v>
      </c>
      <c r="C22" s="137">
        <v>644.15</v>
      </c>
      <c r="D22" s="138">
        <v>25052.35</v>
      </c>
      <c r="F22" s="140">
        <f t="shared" si="1"/>
        <v>1.3991449669645973E-3</v>
      </c>
      <c r="G22" s="140">
        <f t="shared" si="0"/>
        <v>1.3830180571793446E-3</v>
      </c>
    </row>
    <row r="23" spans="2:7">
      <c r="B23" s="136">
        <v>45533</v>
      </c>
      <c r="C23" s="137">
        <v>643.9</v>
      </c>
      <c r="D23" s="138">
        <v>25151.95</v>
      </c>
      <c r="F23" s="140">
        <f t="shared" si="1"/>
        <v>-3.8810835985407126E-4</v>
      </c>
      <c r="G23" s="140">
        <f t="shared" si="0"/>
        <v>3.9756749366826744E-3</v>
      </c>
    </row>
    <row r="24" spans="2:7">
      <c r="B24" s="136">
        <v>45534</v>
      </c>
      <c r="C24" s="137">
        <v>637.29999999999995</v>
      </c>
      <c r="D24" s="138">
        <v>25235.9</v>
      </c>
      <c r="F24" s="140">
        <f t="shared" si="1"/>
        <v>-1.0250038825904679E-2</v>
      </c>
      <c r="G24" s="140">
        <f t="shared" si="0"/>
        <v>3.3377133780880101E-3</v>
      </c>
    </row>
    <row r="25" spans="2:7">
      <c r="B25" s="136">
        <v>45537</v>
      </c>
      <c r="C25" s="137">
        <v>636.65</v>
      </c>
      <c r="D25" s="138">
        <v>25278.7</v>
      </c>
      <c r="F25" s="140">
        <f t="shared" si="1"/>
        <v>-1.0199278204926681E-3</v>
      </c>
      <c r="G25" s="140">
        <f t="shared" si="0"/>
        <v>1.6959965763059478E-3</v>
      </c>
    </row>
    <row r="26" spans="2:7">
      <c r="B26" s="136">
        <v>45538</v>
      </c>
      <c r="C26" s="137">
        <v>638.35</v>
      </c>
      <c r="D26" s="138">
        <v>25279.85</v>
      </c>
      <c r="F26" s="140">
        <f t="shared" si="1"/>
        <v>2.6702269692924613E-3</v>
      </c>
      <c r="G26" s="140">
        <f t="shared" si="0"/>
        <v>4.5492845755431141E-5</v>
      </c>
    </row>
    <row r="27" spans="2:7">
      <c r="B27" s="136">
        <v>45539</v>
      </c>
      <c r="C27" s="137">
        <v>650.15</v>
      </c>
      <c r="D27" s="138">
        <v>25198.7</v>
      </c>
      <c r="F27" s="140">
        <f t="shared" si="1"/>
        <v>1.8485157045507877E-2</v>
      </c>
      <c r="G27" s="140">
        <f t="shared" si="0"/>
        <v>-3.2100665154262318E-3</v>
      </c>
    </row>
    <row r="28" spans="2:7">
      <c r="B28" s="136">
        <v>45540</v>
      </c>
      <c r="C28" s="137">
        <v>644.54999999999995</v>
      </c>
      <c r="D28" s="138">
        <v>25145.1</v>
      </c>
      <c r="F28" s="140">
        <f t="shared" si="1"/>
        <v>-8.613396908405787E-3</v>
      </c>
      <c r="G28" s="140">
        <f t="shared" si="0"/>
        <v>-2.1270938580165715E-3</v>
      </c>
    </row>
    <row r="29" spans="2:7">
      <c r="B29" s="136">
        <v>45541</v>
      </c>
      <c r="C29" s="137">
        <v>644.6</v>
      </c>
      <c r="D29" s="138">
        <v>24852.15</v>
      </c>
      <c r="F29" s="140">
        <f t="shared" si="1"/>
        <v>7.75735008922011E-5</v>
      </c>
      <c r="G29" s="140">
        <f t="shared" si="0"/>
        <v>-1.1650381187587128E-2</v>
      </c>
    </row>
    <row r="30" spans="2:7">
      <c r="B30" s="136">
        <v>45544</v>
      </c>
      <c r="C30" s="137">
        <v>661.95</v>
      </c>
      <c r="D30" s="138">
        <v>24936.400000000001</v>
      </c>
      <c r="F30" s="140">
        <f t="shared" si="1"/>
        <v>2.6915916847657498E-2</v>
      </c>
      <c r="G30" s="140">
        <f t="shared" si="0"/>
        <v>3.3900487482974306E-3</v>
      </c>
    </row>
    <row r="31" spans="2:7">
      <c r="B31" s="136">
        <v>45545</v>
      </c>
      <c r="C31" s="137">
        <v>664.7</v>
      </c>
      <c r="D31" s="138">
        <v>25041.1</v>
      </c>
      <c r="F31" s="140">
        <f t="shared" si="1"/>
        <v>4.1543923257043583E-3</v>
      </c>
      <c r="G31" s="140">
        <f t="shared" si="0"/>
        <v>4.1986814455974835E-3</v>
      </c>
    </row>
    <row r="32" spans="2:7">
      <c r="B32" s="136">
        <v>45546</v>
      </c>
      <c r="C32" s="137">
        <v>663.9</v>
      </c>
      <c r="D32" s="138">
        <v>24918.45</v>
      </c>
      <c r="F32" s="140">
        <f t="shared" si="1"/>
        <v>-1.2035504738981016E-3</v>
      </c>
      <c r="G32" s="140">
        <f t="shared" si="0"/>
        <v>-4.8979477738596879E-3</v>
      </c>
    </row>
    <row r="33" spans="2:7">
      <c r="B33" s="136">
        <v>45547</v>
      </c>
      <c r="C33" s="137">
        <v>664.6</v>
      </c>
      <c r="D33" s="138">
        <v>25388.9</v>
      </c>
      <c r="F33" s="140">
        <f t="shared" si="1"/>
        <v>1.0543756589848554E-3</v>
      </c>
      <c r="G33" s="140">
        <f t="shared" si="0"/>
        <v>1.8879585206945083E-2</v>
      </c>
    </row>
    <row r="34" spans="2:7">
      <c r="B34" s="136">
        <v>45548</v>
      </c>
      <c r="C34" s="137">
        <v>660.7</v>
      </c>
      <c r="D34" s="138">
        <v>25356.5</v>
      </c>
      <c r="F34" s="140">
        <f t="shared" si="1"/>
        <v>-5.8681913933192557E-3</v>
      </c>
      <c r="G34" s="140">
        <f t="shared" si="0"/>
        <v>-1.2761482380095812E-3</v>
      </c>
    </row>
    <row r="35" spans="2:7">
      <c r="B35" s="136">
        <v>45551</v>
      </c>
      <c r="C35" s="137">
        <v>661.2</v>
      </c>
      <c r="D35" s="138">
        <v>25383.75</v>
      </c>
      <c r="F35" s="140">
        <f t="shared" si="1"/>
        <v>7.5677311941879817E-4</v>
      </c>
      <c r="G35" s="140">
        <f t="shared" si="0"/>
        <v>1.0746751326089958E-3</v>
      </c>
    </row>
    <row r="36" spans="2:7">
      <c r="B36" s="136">
        <v>45552</v>
      </c>
      <c r="C36" s="137">
        <v>660.4</v>
      </c>
      <c r="D36" s="138">
        <v>25418.55</v>
      </c>
      <c r="F36" s="140">
        <f t="shared" si="1"/>
        <v>-1.2099213551120208E-3</v>
      </c>
      <c r="G36" s="140">
        <f t="shared" si="0"/>
        <v>1.3709558280395637E-3</v>
      </c>
    </row>
    <row r="37" spans="2:7">
      <c r="B37" s="136">
        <v>45553</v>
      </c>
      <c r="C37" s="137">
        <v>654.20000000000005</v>
      </c>
      <c r="D37" s="138">
        <v>25377.55</v>
      </c>
      <c r="F37" s="140">
        <f t="shared" si="1"/>
        <v>-9.3882495457297578E-3</v>
      </c>
      <c r="G37" s="140">
        <f t="shared" si="0"/>
        <v>-1.612995233795791E-3</v>
      </c>
    </row>
    <row r="38" spans="2:7">
      <c r="B38" s="136">
        <v>45554</v>
      </c>
      <c r="C38" s="137">
        <v>664.75</v>
      </c>
      <c r="D38" s="138">
        <v>25415.8</v>
      </c>
      <c r="F38" s="140">
        <f t="shared" si="1"/>
        <v>1.6126566799143923E-2</v>
      </c>
      <c r="G38" s="140">
        <f t="shared" si="0"/>
        <v>1.5072376963103215E-3</v>
      </c>
    </row>
    <row r="39" spans="2:7">
      <c r="B39" s="136">
        <v>45555</v>
      </c>
      <c r="C39" s="137">
        <v>667.8</v>
      </c>
      <c r="D39" s="138">
        <v>25790.95</v>
      </c>
      <c r="F39" s="140">
        <f t="shared" si="1"/>
        <v>4.5881910492665736E-3</v>
      </c>
      <c r="G39" s="140">
        <f t="shared" si="0"/>
        <v>1.4760503308965348E-2</v>
      </c>
    </row>
    <row r="40" spans="2:7">
      <c r="B40" s="136">
        <v>45558</v>
      </c>
      <c r="C40" s="137">
        <v>661</v>
      </c>
      <c r="D40" s="138">
        <v>25939.05</v>
      </c>
      <c r="F40" s="140">
        <f t="shared" si="1"/>
        <v>-1.018268942797238E-2</v>
      </c>
      <c r="G40" s="140">
        <f t="shared" si="0"/>
        <v>5.7423243424534007E-3</v>
      </c>
    </row>
    <row r="41" spans="2:7">
      <c r="B41" s="136">
        <v>45559</v>
      </c>
      <c r="C41" s="137">
        <v>655.75</v>
      </c>
      <c r="D41" s="138">
        <v>25940.400000000001</v>
      </c>
      <c r="F41" s="140">
        <f t="shared" si="1"/>
        <v>-7.9425113464447802E-3</v>
      </c>
      <c r="G41" s="140">
        <f t="shared" si="0"/>
        <v>5.2045082607195824E-5</v>
      </c>
    </row>
    <row r="42" spans="2:7">
      <c r="B42" s="136">
        <v>45560</v>
      </c>
      <c r="C42" s="137">
        <v>627.1</v>
      </c>
      <c r="D42" s="138">
        <v>26004.15</v>
      </c>
      <c r="F42" s="140">
        <f t="shared" si="1"/>
        <v>-4.3690430804422385E-2</v>
      </c>
      <c r="G42" s="140">
        <f t="shared" si="0"/>
        <v>2.4575565527131422E-3</v>
      </c>
    </row>
    <row r="43" spans="2:7">
      <c r="B43" s="136">
        <v>45561</v>
      </c>
      <c r="C43" s="137">
        <v>625.70000000000005</v>
      </c>
      <c r="D43" s="138">
        <v>26216.05</v>
      </c>
      <c r="F43" s="140">
        <f t="shared" si="1"/>
        <v>-2.2324988040184615E-3</v>
      </c>
      <c r="G43" s="140">
        <f t="shared" si="0"/>
        <v>8.1486993422202926E-3</v>
      </c>
    </row>
    <row r="44" spans="2:7">
      <c r="B44" s="136">
        <v>45562</v>
      </c>
      <c r="C44" s="137">
        <v>633.04999999999995</v>
      </c>
      <c r="D44" s="138">
        <v>26178.95</v>
      </c>
      <c r="F44" s="140">
        <f t="shared" si="1"/>
        <v>1.1746843535240385E-2</v>
      </c>
      <c r="G44" s="140">
        <f t="shared" si="0"/>
        <v>-1.4151636116042862E-3</v>
      </c>
    </row>
    <row r="45" spans="2:7">
      <c r="B45" s="136">
        <v>45565</v>
      </c>
      <c r="C45" s="137">
        <v>625.35</v>
      </c>
      <c r="D45" s="138">
        <v>25810.85</v>
      </c>
      <c r="F45" s="140">
        <f t="shared" si="1"/>
        <v>-1.2163336229365662E-2</v>
      </c>
      <c r="G45" s="140">
        <f t="shared" si="0"/>
        <v>-1.4060915353748036E-2</v>
      </c>
    </row>
    <row r="46" spans="2:7">
      <c r="B46" s="136">
        <v>45566</v>
      </c>
      <c r="C46" s="137">
        <v>618.9</v>
      </c>
      <c r="D46" s="138">
        <v>25796.9</v>
      </c>
      <c r="F46" s="140">
        <f t="shared" si="1"/>
        <v>-1.031422403454073E-2</v>
      </c>
      <c r="G46" s="140">
        <f t="shared" si="0"/>
        <v>-5.4047038357888603E-4</v>
      </c>
    </row>
    <row r="47" spans="2:7">
      <c r="B47" s="136">
        <v>45568</v>
      </c>
      <c r="C47" s="137">
        <v>580.6</v>
      </c>
      <c r="D47" s="138">
        <v>25250.1</v>
      </c>
      <c r="F47" s="140">
        <f t="shared" si="1"/>
        <v>-6.1883987720148581E-2</v>
      </c>
      <c r="G47" s="140">
        <f t="shared" si="0"/>
        <v>-2.1196345297303278E-2</v>
      </c>
    </row>
    <row r="48" spans="2:7">
      <c r="B48" s="136">
        <v>45569</v>
      </c>
      <c r="C48" s="137">
        <v>572.15</v>
      </c>
      <c r="D48" s="138">
        <v>25014.6</v>
      </c>
      <c r="F48" s="140">
        <f t="shared" si="1"/>
        <v>-1.4553909748536075E-2</v>
      </c>
      <c r="G48" s="140">
        <f t="shared" si="0"/>
        <v>-9.3266957358584725E-3</v>
      </c>
    </row>
    <row r="49" spans="2:7">
      <c r="B49" s="136">
        <v>45572</v>
      </c>
      <c r="C49" s="137">
        <v>569.35</v>
      </c>
      <c r="D49" s="138">
        <v>24795.75</v>
      </c>
      <c r="F49" s="140">
        <f t="shared" si="1"/>
        <v>-4.8938215502926765E-3</v>
      </c>
      <c r="G49" s="140">
        <f t="shared" si="0"/>
        <v>-8.7488906478615912E-3</v>
      </c>
    </row>
    <row r="50" spans="2:7">
      <c r="B50" s="136">
        <v>45573</v>
      </c>
      <c r="C50" s="137">
        <v>567.15</v>
      </c>
      <c r="D50" s="138">
        <v>25013.15</v>
      </c>
      <c r="F50" s="140">
        <f t="shared" si="1"/>
        <v>-3.8640555018881976E-3</v>
      </c>
      <c r="G50" s="140">
        <f t="shared" si="0"/>
        <v>8.7676315497616109E-3</v>
      </c>
    </row>
    <row r="51" spans="2:7">
      <c r="B51" s="136">
        <v>45574</v>
      </c>
      <c r="C51" s="137">
        <v>564.79999999999995</v>
      </c>
      <c r="D51" s="138">
        <v>24981.95</v>
      </c>
      <c r="F51" s="140">
        <f t="shared" si="1"/>
        <v>-4.1435246407476381E-3</v>
      </c>
      <c r="G51" s="140">
        <f t="shared" si="0"/>
        <v>-1.2473438971101491E-3</v>
      </c>
    </row>
    <row r="52" spans="2:7">
      <c r="B52" s="136">
        <v>45575</v>
      </c>
      <c r="C52" s="137">
        <v>571.9</v>
      </c>
      <c r="D52" s="138">
        <v>24998.45</v>
      </c>
      <c r="F52" s="140">
        <f t="shared" si="1"/>
        <v>1.2570821529745084E-2</v>
      </c>
      <c r="G52" s="140">
        <f t="shared" si="0"/>
        <v>6.604768642960217E-4</v>
      </c>
    </row>
    <row r="53" spans="2:7">
      <c r="B53" s="136">
        <v>45576</v>
      </c>
      <c r="C53" s="137">
        <v>570.79999999999995</v>
      </c>
      <c r="D53" s="138">
        <v>24964.25</v>
      </c>
      <c r="F53" s="140">
        <f t="shared" si="1"/>
        <v>-1.9234131841231383E-3</v>
      </c>
      <c r="G53" s="140">
        <f t="shared" si="0"/>
        <v>-1.368084821258947E-3</v>
      </c>
    </row>
    <row r="54" spans="2:7">
      <c r="B54" s="136">
        <v>45579</v>
      </c>
      <c r="C54" s="137">
        <v>567.29999999999995</v>
      </c>
      <c r="D54" s="138">
        <v>25127.95</v>
      </c>
      <c r="F54" s="140">
        <f t="shared" si="1"/>
        <v>-6.1317449194113532E-3</v>
      </c>
      <c r="G54" s="140">
        <f t="shared" si="0"/>
        <v>6.5573770491803574E-3</v>
      </c>
    </row>
    <row r="55" spans="2:7">
      <c r="B55" s="136">
        <v>45580</v>
      </c>
      <c r="C55" s="137">
        <v>570.95000000000005</v>
      </c>
      <c r="D55" s="138">
        <v>25057.35</v>
      </c>
      <c r="F55" s="140">
        <f t="shared" si="1"/>
        <v>6.4339855455668804E-3</v>
      </c>
      <c r="G55" s="140">
        <f t="shared" si="0"/>
        <v>-2.8096203629823435E-3</v>
      </c>
    </row>
    <row r="56" spans="2:7">
      <c r="B56" s="136">
        <v>45581</v>
      </c>
      <c r="C56" s="137">
        <v>578.15</v>
      </c>
      <c r="D56" s="138">
        <v>24971.3</v>
      </c>
      <c r="F56" s="140">
        <f t="shared" si="1"/>
        <v>1.2610561345126423E-2</v>
      </c>
      <c r="G56" s="140">
        <f t="shared" si="0"/>
        <v>-3.4341221238478642E-3</v>
      </c>
    </row>
    <row r="57" spans="2:7">
      <c r="B57" s="136">
        <v>45582</v>
      </c>
      <c r="C57" s="137">
        <v>572.70000000000005</v>
      </c>
      <c r="D57" s="138">
        <v>24749.85</v>
      </c>
      <c r="F57" s="140">
        <f t="shared" si="1"/>
        <v>-9.4266193894316907E-3</v>
      </c>
      <c r="G57" s="140">
        <f t="shared" si="0"/>
        <v>-8.8681806714108087E-3</v>
      </c>
    </row>
    <row r="58" spans="2:7">
      <c r="B58" s="136">
        <v>45583</v>
      </c>
      <c r="C58" s="137">
        <v>571.29999999999995</v>
      </c>
      <c r="D58" s="138">
        <v>24854.05</v>
      </c>
      <c r="F58" s="140">
        <f t="shared" si="1"/>
        <v>-2.4445608521042272E-3</v>
      </c>
      <c r="G58" s="140">
        <f t="shared" si="0"/>
        <v>4.2101265260193789E-3</v>
      </c>
    </row>
    <row r="59" spans="2:7">
      <c r="B59" s="136">
        <v>45586</v>
      </c>
      <c r="C59" s="137">
        <v>567.79999999999995</v>
      </c>
      <c r="D59" s="138">
        <v>24781.1</v>
      </c>
      <c r="F59" s="140">
        <f t="shared" si="1"/>
        <v>-6.1263784351479091E-3</v>
      </c>
      <c r="G59" s="140">
        <f t="shared" si="0"/>
        <v>-2.9351353199981787E-3</v>
      </c>
    </row>
    <row r="60" spans="2:7">
      <c r="B60" s="136">
        <v>45587</v>
      </c>
      <c r="C60" s="137">
        <v>558.9</v>
      </c>
      <c r="D60" s="138">
        <v>24472.1</v>
      </c>
      <c r="F60" s="140">
        <f t="shared" si="1"/>
        <v>-1.5674533286368402E-2</v>
      </c>
      <c r="G60" s="140">
        <f t="shared" si="0"/>
        <v>-1.2469180141317376E-2</v>
      </c>
    </row>
    <row r="61" spans="2:7">
      <c r="B61" s="136">
        <v>45588</v>
      </c>
      <c r="C61" s="137">
        <v>558.45000000000005</v>
      </c>
      <c r="D61" s="138">
        <v>24435.5</v>
      </c>
      <c r="F61" s="140">
        <f t="shared" si="1"/>
        <v>-8.0515297906590057E-4</v>
      </c>
      <c r="G61" s="140">
        <f t="shared" si="0"/>
        <v>-1.4955806816741737E-3</v>
      </c>
    </row>
    <row r="62" spans="2:7">
      <c r="B62" s="136">
        <v>45589</v>
      </c>
      <c r="C62" s="137">
        <v>541.25</v>
      </c>
      <c r="D62" s="138">
        <v>24399.4</v>
      </c>
      <c r="F62" s="140">
        <f t="shared" si="1"/>
        <v>-3.0799534425642483E-2</v>
      </c>
      <c r="G62" s="140">
        <f t="shared" si="0"/>
        <v>-1.4773587608192403E-3</v>
      </c>
    </row>
    <row r="63" spans="2:7">
      <c r="B63" s="136">
        <v>45590</v>
      </c>
      <c r="C63" s="137">
        <v>538.5</v>
      </c>
      <c r="D63" s="138">
        <v>24180.799999999999</v>
      </c>
      <c r="F63" s="140">
        <f t="shared" si="1"/>
        <v>-5.0808314087759819E-3</v>
      </c>
      <c r="G63" s="140">
        <f t="shared" si="0"/>
        <v>-8.9592367025419541E-3</v>
      </c>
    </row>
    <row r="64" spans="2:7">
      <c r="B64" s="136">
        <v>45593</v>
      </c>
      <c r="C64" s="137">
        <v>553.85</v>
      </c>
      <c r="D64" s="138">
        <v>24339.15</v>
      </c>
      <c r="F64" s="140">
        <f t="shared" si="1"/>
        <v>2.8505106778087323E-2</v>
      </c>
      <c r="G64" s="140">
        <f t="shared" si="0"/>
        <v>6.5485840005294364E-3</v>
      </c>
    </row>
    <row r="65" spans="2:7">
      <c r="B65" s="136">
        <v>45594</v>
      </c>
      <c r="C65" s="137">
        <v>535.85</v>
      </c>
      <c r="D65" s="138">
        <v>24466.85</v>
      </c>
      <c r="F65" s="140">
        <f t="shared" si="1"/>
        <v>-3.2499774307122864E-2</v>
      </c>
      <c r="G65" s="140">
        <f t="shared" si="0"/>
        <v>5.2466910307055539E-3</v>
      </c>
    </row>
    <row r="66" spans="2:7">
      <c r="B66" s="136">
        <v>45595</v>
      </c>
      <c r="C66" s="137">
        <v>546.95000000000005</v>
      </c>
      <c r="D66" s="138">
        <v>24340.85</v>
      </c>
      <c r="F66" s="140">
        <f t="shared" si="1"/>
        <v>2.0714752262760143E-2</v>
      </c>
      <c r="G66" s="140">
        <f t="shared" si="0"/>
        <v>-5.1498251716097501E-3</v>
      </c>
    </row>
    <row r="67" spans="2:7">
      <c r="B67" s="136">
        <v>45596</v>
      </c>
      <c r="C67" s="137">
        <v>539.95000000000005</v>
      </c>
      <c r="D67" s="138">
        <v>24205.35</v>
      </c>
      <c r="F67" s="140">
        <f t="shared" si="1"/>
        <v>-1.2798244812140048E-2</v>
      </c>
      <c r="G67" s="140">
        <f t="shared" si="0"/>
        <v>-5.5667735514577351E-3</v>
      </c>
    </row>
    <row r="68" spans="2:7">
      <c r="B68" s="136">
        <v>45597</v>
      </c>
      <c r="C68" s="137">
        <v>543.1</v>
      </c>
      <c r="D68" s="138">
        <v>24304.35</v>
      </c>
      <c r="F68" s="140">
        <f t="shared" si="1"/>
        <v>5.8338735068061429E-3</v>
      </c>
      <c r="G68" s="140">
        <f t="shared" si="0"/>
        <v>4.0900048956119209E-3</v>
      </c>
    </row>
    <row r="69" spans="2:7">
      <c r="B69" s="136">
        <v>45600</v>
      </c>
      <c r="C69" s="137">
        <v>534.95000000000005</v>
      </c>
      <c r="D69" s="138">
        <v>23995.35</v>
      </c>
      <c r="F69" s="140">
        <f t="shared" si="1"/>
        <v>-1.5006444485361769E-2</v>
      </c>
      <c r="G69" s="140">
        <f t="shared" si="0"/>
        <v>-1.2713773460306488E-2</v>
      </c>
    </row>
    <row r="70" spans="2:7">
      <c r="B70" s="136">
        <v>45601</v>
      </c>
      <c r="C70" s="137">
        <v>534.70000000000005</v>
      </c>
      <c r="D70" s="138">
        <v>24213.3</v>
      </c>
      <c r="F70" s="140">
        <f t="shared" si="1"/>
        <v>-4.673333956444527E-4</v>
      </c>
      <c r="G70" s="140">
        <f t="shared" ref="G70:G133" si="2">(D70-D69)/D69</f>
        <v>9.0830098331552041E-3</v>
      </c>
    </row>
    <row r="71" spans="2:7">
      <c r="B71" s="136">
        <v>45602</v>
      </c>
      <c r="C71" s="137">
        <v>539.54999999999995</v>
      </c>
      <c r="D71" s="138">
        <v>24484.05</v>
      </c>
      <c r="F71" s="140">
        <f t="shared" si="1"/>
        <v>9.070506826257544E-3</v>
      </c>
      <c r="G71" s="140">
        <f t="shared" si="2"/>
        <v>1.1181871120417292E-2</v>
      </c>
    </row>
    <row r="72" spans="2:7">
      <c r="B72" s="136">
        <v>45603</v>
      </c>
      <c r="C72" s="137">
        <v>534.29999999999995</v>
      </c>
      <c r="D72" s="138">
        <v>24199.35</v>
      </c>
      <c r="F72" s="140">
        <f t="shared" ref="F72:F135" si="3">(C72-C71)/C71</f>
        <v>-9.7303308312482635E-3</v>
      </c>
      <c r="G72" s="140">
        <f t="shared" si="2"/>
        <v>-1.162797821438858E-2</v>
      </c>
    </row>
    <row r="73" spans="2:7">
      <c r="B73" s="136">
        <v>45604</v>
      </c>
      <c r="C73" s="137">
        <v>531.6</v>
      </c>
      <c r="D73" s="138">
        <v>24148.2</v>
      </c>
      <c r="F73" s="140">
        <f t="shared" si="3"/>
        <v>-5.05334081976405E-3</v>
      </c>
      <c r="G73" s="140">
        <f t="shared" si="2"/>
        <v>-2.1136931363858044E-3</v>
      </c>
    </row>
    <row r="74" spans="2:7">
      <c r="B74" s="136">
        <v>45607</v>
      </c>
      <c r="C74" s="137">
        <v>522.95000000000005</v>
      </c>
      <c r="D74" s="138">
        <v>24141.3</v>
      </c>
      <c r="F74" s="140">
        <f t="shared" si="3"/>
        <v>-1.6271632806621476E-2</v>
      </c>
      <c r="G74" s="140">
        <f t="shared" si="2"/>
        <v>-2.8573558277641628E-4</v>
      </c>
    </row>
    <row r="75" spans="2:7">
      <c r="B75" s="136">
        <v>45608</v>
      </c>
      <c r="C75" s="137">
        <v>511.05</v>
      </c>
      <c r="D75" s="138">
        <v>23883.45</v>
      </c>
      <c r="F75" s="140">
        <f t="shared" si="3"/>
        <v>-2.2755521560378685E-2</v>
      </c>
      <c r="G75" s="140">
        <f t="shared" si="2"/>
        <v>-1.0680866399075383E-2</v>
      </c>
    </row>
    <row r="76" spans="2:7">
      <c r="B76" s="136">
        <v>45609</v>
      </c>
      <c r="C76" s="137">
        <v>510.75</v>
      </c>
      <c r="D76" s="138">
        <v>23559.05</v>
      </c>
      <c r="F76" s="140">
        <f t="shared" si="3"/>
        <v>-5.8702670971531423E-4</v>
      </c>
      <c r="G76" s="140">
        <f t="shared" si="2"/>
        <v>-1.3582627300494754E-2</v>
      </c>
    </row>
    <row r="77" spans="2:7">
      <c r="B77" s="136">
        <v>45610</v>
      </c>
      <c r="C77" s="137">
        <v>507.45</v>
      </c>
      <c r="D77" s="138">
        <v>23532.7</v>
      </c>
      <c r="F77" s="140">
        <f t="shared" si="3"/>
        <v>-6.4610866372981132E-3</v>
      </c>
      <c r="G77" s="140">
        <f t="shared" si="2"/>
        <v>-1.118466152073133E-3</v>
      </c>
    </row>
    <row r="78" spans="2:7">
      <c r="B78" s="136">
        <v>45614</v>
      </c>
      <c r="C78" s="137">
        <v>508.2</v>
      </c>
      <c r="D78" s="138">
        <v>23453.8</v>
      </c>
      <c r="F78" s="140">
        <f t="shared" si="3"/>
        <v>1.4779781259237363E-3</v>
      </c>
      <c r="G78" s="140">
        <f t="shared" si="2"/>
        <v>-3.3527814487925929E-3</v>
      </c>
    </row>
    <row r="79" spans="2:7">
      <c r="B79" s="136">
        <v>45615</v>
      </c>
      <c r="C79" s="137">
        <v>508.25</v>
      </c>
      <c r="D79" s="138">
        <v>23518.5</v>
      </c>
      <c r="F79" s="140">
        <f t="shared" si="3"/>
        <v>9.8386462022848029E-5</v>
      </c>
      <c r="G79" s="140">
        <f t="shared" si="2"/>
        <v>2.7586148086877491E-3</v>
      </c>
    </row>
    <row r="80" spans="2:7">
      <c r="B80" s="136">
        <v>45617</v>
      </c>
      <c r="C80" s="137">
        <v>505.8</v>
      </c>
      <c r="D80" s="138">
        <v>23349.9</v>
      </c>
      <c r="F80" s="140">
        <f t="shared" si="3"/>
        <v>-4.8204623708804498E-3</v>
      </c>
      <c r="G80" s="140">
        <f t="shared" si="2"/>
        <v>-7.1688245423814677E-3</v>
      </c>
    </row>
    <row r="81" spans="2:7">
      <c r="B81" s="136">
        <v>45618</v>
      </c>
      <c r="C81" s="137">
        <v>512.9</v>
      </c>
      <c r="D81" s="138">
        <v>23907.25</v>
      </c>
      <c r="F81" s="140">
        <f t="shared" si="3"/>
        <v>1.4037168841439237E-2</v>
      </c>
      <c r="G81" s="140">
        <f t="shared" si="2"/>
        <v>2.3869481239748285E-2</v>
      </c>
    </row>
    <row r="82" spans="2:7">
      <c r="B82" s="136">
        <v>45621</v>
      </c>
      <c r="C82" s="137">
        <v>521.65</v>
      </c>
      <c r="D82" s="138">
        <v>24221.9</v>
      </c>
      <c r="F82" s="140">
        <f t="shared" si="3"/>
        <v>1.7059855722363036E-2</v>
      </c>
      <c r="G82" s="140">
        <f t="shared" si="2"/>
        <v>1.316127952817666E-2</v>
      </c>
    </row>
    <row r="83" spans="2:7">
      <c r="B83" s="136">
        <v>45622</v>
      </c>
      <c r="C83" s="137">
        <v>525.25</v>
      </c>
      <c r="D83" s="138">
        <v>24194.5</v>
      </c>
      <c r="F83" s="140">
        <f t="shared" si="3"/>
        <v>6.9011789514042418E-3</v>
      </c>
      <c r="G83" s="140">
        <f t="shared" si="2"/>
        <v>-1.1312077087264605E-3</v>
      </c>
    </row>
    <row r="84" spans="2:7">
      <c r="B84" s="136">
        <v>45623</v>
      </c>
      <c r="C84" s="137">
        <v>527.4</v>
      </c>
      <c r="D84" s="138">
        <v>24274.9</v>
      </c>
      <c r="F84" s="140">
        <f t="shared" si="3"/>
        <v>4.0932889100427933E-3</v>
      </c>
      <c r="G84" s="140">
        <f t="shared" si="2"/>
        <v>3.3230692926078842E-3</v>
      </c>
    </row>
    <row r="85" spans="2:7">
      <c r="B85" s="136">
        <v>45624</v>
      </c>
      <c r="C85" s="137">
        <v>526.04999999999995</v>
      </c>
      <c r="D85" s="138">
        <v>23914.15</v>
      </c>
      <c r="F85" s="140">
        <f t="shared" si="3"/>
        <v>-2.5597269624573812E-3</v>
      </c>
      <c r="G85" s="140">
        <f t="shared" si="2"/>
        <v>-1.4861029293632517E-2</v>
      </c>
    </row>
    <row r="86" spans="2:7">
      <c r="B86" s="136">
        <v>45625</v>
      </c>
      <c r="C86" s="137">
        <v>527.04999999999995</v>
      </c>
      <c r="D86" s="138">
        <v>24131.1</v>
      </c>
      <c r="F86" s="140">
        <f t="shared" si="3"/>
        <v>1.9009599847923202E-3</v>
      </c>
      <c r="G86" s="140">
        <f t="shared" si="2"/>
        <v>9.072034757664273E-3</v>
      </c>
    </row>
    <row r="87" spans="2:7">
      <c r="B87" s="136">
        <v>45628</v>
      </c>
      <c r="C87" s="137">
        <v>524.5</v>
      </c>
      <c r="D87" s="138">
        <v>24276.05</v>
      </c>
      <c r="F87" s="140">
        <f t="shared" si="3"/>
        <v>-4.8382506403566164E-3</v>
      </c>
      <c r="G87" s="140">
        <f t="shared" si="2"/>
        <v>6.0067713448620549E-3</v>
      </c>
    </row>
    <row r="88" spans="2:7">
      <c r="B88" s="136">
        <v>45629</v>
      </c>
      <c r="C88" s="137">
        <v>522.79999999999995</v>
      </c>
      <c r="D88" s="138">
        <v>24457.15</v>
      </c>
      <c r="F88" s="140">
        <f t="shared" si="3"/>
        <v>-3.2411820781697723E-3</v>
      </c>
      <c r="G88" s="140">
        <f t="shared" si="2"/>
        <v>7.4600274756396606E-3</v>
      </c>
    </row>
    <row r="89" spans="2:7">
      <c r="B89" s="136">
        <v>45630</v>
      </c>
      <c r="C89" s="137">
        <v>522.35</v>
      </c>
      <c r="D89" s="138">
        <v>24467.45</v>
      </c>
      <c r="F89" s="140">
        <f t="shared" si="3"/>
        <v>-8.6074980872213435E-4</v>
      </c>
      <c r="G89" s="140">
        <f t="shared" si="2"/>
        <v>4.2114473681517558E-4</v>
      </c>
    </row>
    <row r="90" spans="2:7">
      <c r="B90" s="136">
        <v>45631</v>
      </c>
      <c r="C90" s="137">
        <v>521.9</v>
      </c>
      <c r="D90" s="138">
        <v>24708.400000000001</v>
      </c>
      <c r="F90" s="140">
        <f t="shared" si="3"/>
        <v>-8.6149133722608488E-4</v>
      </c>
      <c r="G90" s="140">
        <f t="shared" si="2"/>
        <v>9.8477773531774147E-3</v>
      </c>
    </row>
    <row r="91" spans="2:7">
      <c r="B91" s="136">
        <v>45632</v>
      </c>
      <c r="C91" s="137">
        <v>523.54999999999995</v>
      </c>
      <c r="D91" s="138">
        <v>24677.8</v>
      </c>
      <c r="F91" s="140">
        <f t="shared" si="3"/>
        <v>3.1615251963977341E-3</v>
      </c>
      <c r="G91" s="140">
        <f t="shared" si="2"/>
        <v>-1.2384452251057204E-3</v>
      </c>
    </row>
    <row r="92" spans="2:7">
      <c r="B92" s="136">
        <v>45635</v>
      </c>
      <c r="C92" s="137">
        <v>506.95</v>
      </c>
      <c r="D92" s="138">
        <v>24619</v>
      </c>
      <c r="F92" s="140">
        <f t="shared" si="3"/>
        <v>-3.1706618279056381E-2</v>
      </c>
      <c r="G92" s="140">
        <f t="shared" si="2"/>
        <v>-2.3827083451522938E-3</v>
      </c>
    </row>
    <row r="93" spans="2:7">
      <c r="B93" s="136">
        <v>45636</v>
      </c>
      <c r="C93" s="137">
        <v>507.1</v>
      </c>
      <c r="D93" s="138">
        <v>24610.05</v>
      </c>
      <c r="F93" s="140">
        <f t="shared" si="3"/>
        <v>2.9588716835986608E-4</v>
      </c>
      <c r="G93" s="140">
        <f t="shared" si="2"/>
        <v>-3.6354035501038739E-4</v>
      </c>
    </row>
    <row r="94" spans="2:7">
      <c r="B94" s="136">
        <v>45637</v>
      </c>
      <c r="C94" s="137">
        <v>508.9</v>
      </c>
      <c r="D94" s="138">
        <v>24641.8</v>
      </c>
      <c r="F94" s="140">
        <f t="shared" si="3"/>
        <v>3.5495957404850214E-3</v>
      </c>
      <c r="G94" s="140">
        <f t="shared" si="2"/>
        <v>1.29012334391844E-3</v>
      </c>
    </row>
    <row r="95" spans="2:7">
      <c r="B95" s="136">
        <v>45638</v>
      </c>
      <c r="C95" s="137">
        <v>506.9</v>
      </c>
      <c r="D95" s="138">
        <v>24548.7</v>
      </c>
      <c r="F95" s="140">
        <f t="shared" si="3"/>
        <v>-3.9300451955197489E-3</v>
      </c>
      <c r="G95" s="140">
        <f t="shared" si="2"/>
        <v>-3.77813309092674E-3</v>
      </c>
    </row>
    <row r="96" spans="2:7">
      <c r="B96" s="136">
        <v>45639</v>
      </c>
      <c r="C96" s="137">
        <v>512.6</v>
      </c>
      <c r="D96" s="138">
        <v>24768.3</v>
      </c>
      <c r="F96" s="140">
        <f t="shared" si="3"/>
        <v>1.1244821463799657E-2</v>
      </c>
      <c r="G96" s="140">
        <f t="shared" si="2"/>
        <v>8.9454838749098136E-3</v>
      </c>
    </row>
    <row r="97" spans="2:7">
      <c r="B97" s="136">
        <v>45642</v>
      </c>
      <c r="C97" s="137">
        <v>510.1</v>
      </c>
      <c r="D97" s="138">
        <v>24668.25</v>
      </c>
      <c r="F97" s="140">
        <f t="shared" si="3"/>
        <v>-4.8770971517752629E-3</v>
      </c>
      <c r="G97" s="140">
        <f t="shared" si="2"/>
        <v>-4.0394375068131148E-3</v>
      </c>
    </row>
    <row r="98" spans="2:7">
      <c r="B98" s="136">
        <v>45643</v>
      </c>
      <c r="C98" s="137">
        <v>505.95</v>
      </c>
      <c r="D98" s="138">
        <v>24336</v>
      </c>
      <c r="F98" s="140">
        <f t="shared" si="3"/>
        <v>-8.1356596745736798E-3</v>
      </c>
      <c r="G98" s="140">
        <f t="shared" si="2"/>
        <v>-1.3468730047733423E-2</v>
      </c>
    </row>
    <row r="99" spans="2:7">
      <c r="B99" s="136">
        <v>45644</v>
      </c>
      <c r="C99" s="137">
        <v>505.4</v>
      </c>
      <c r="D99" s="138">
        <v>24198.85</v>
      </c>
      <c r="F99" s="140">
        <f t="shared" si="3"/>
        <v>-1.0870639391244419E-3</v>
      </c>
      <c r="G99" s="140">
        <f t="shared" si="2"/>
        <v>-5.6356837606838205E-3</v>
      </c>
    </row>
    <row r="100" spans="2:7">
      <c r="B100" s="136">
        <v>45645</v>
      </c>
      <c r="C100" s="137">
        <v>504</v>
      </c>
      <c r="D100" s="138">
        <v>23951.7</v>
      </c>
      <c r="F100" s="140">
        <f t="shared" si="3"/>
        <v>-2.7700831024930301E-3</v>
      </c>
      <c r="G100" s="140">
        <f t="shared" si="2"/>
        <v>-1.0213295259898624E-2</v>
      </c>
    </row>
    <row r="101" spans="2:7">
      <c r="B101" s="136">
        <v>45646</v>
      </c>
      <c r="C101" s="137">
        <v>501.9</v>
      </c>
      <c r="D101" s="138">
        <v>23587.5</v>
      </c>
      <c r="F101" s="140">
        <f t="shared" si="3"/>
        <v>-4.1666666666667117E-3</v>
      </c>
      <c r="G101" s="140">
        <f t="shared" si="2"/>
        <v>-1.520560127256106E-2</v>
      </c>
    </row>
    <row r="102" spans="2:7">
      <c r="B102" s="136">
        <v>45649</v>
      </c>
      <c r="C102" s="137">
        <v>510.1</v>
      </c>
      <c r="D102" s="138">
        <v>23753.45</v>
      </c>
      <c r="F102" s="140">
        <f t="shared" si="3"/>
        <v>1.6337915919505969E-2</v>
      </c>
      <c r="G102" s="140">
        <f t="shared" si="2"/>
        <v>7.0355060943296547E-3</v>
      </c>
    </row>
    <row r="103" spans="2:7">
      <c r="B103" s="136">
        <v>45650</v>
      </c>
      <c r="C103" s="137">
        <v>509.9</v>
      </c>
      <c r="D103" s="138">
        <v>23727.65</v>
      </c>
      <c r="F103" s="140">
        <f t="shared" si="3"/>
        <v>-3.9207998431688975E-4</v>
      </c>
      <c r="G103" s="140">
        <f t="shared" si="2"/>
        <v>-1.0861580107310422E-3</v>
      </c>
    </row>
    <row r="104" spans="2:7">
      <c r="B104" s="136">
        <v>45652</v>
      </c>
      <c r="C104" s="137">
        <v>505.75</v>
      </c>
      <c r="D104" s="138">
        <v>23750.2</v>
      </c>
      <c r="F104" s="140">
        <f t="shared" si="3"/>
        <v>-8.1388507550499648E-3</v>
      </c>
      <c r="G104" s="140">
        <f t="shared" si="2"/>
        <v>9.5036803054660999E-4</v>
      </c>
    </row>
    <row r="105" spans="2:7">
      <c r="B105" s="136">
        <v>45653</v>
      </c>
      <c r="C105" s="137">
        <v>507.35</v>
      </c>
      <c r="D105" s="138">
        <v>23813.4</v>
      </c>
      <c r="F105" s="140">
        <f t="shared" si="3"/>
        <v>3.1636183885319284E-3</v>
      </c>
      <c r="G105" s="140">
        <f t="shared" si="2"/>
        <v>2.6610302229034166E-3</v>
      </c>
    </row>
    <row r="106" spans="2:7">
      <c r="B106" s="136">
        <v>45656</v>
      </c>
      <c r="C106" s="137">
        <v>506</v>
      </c>
      <c r="D106" s="138">
        <v>23644.9</v>
      </c>
      <c r="F106" s="140">
        <f t="shared" si="3"/>
        <v>-2.6608849906376714E-3</v>
      </c>
      <c r="G106" s="140">
        <f t="shared" si="2"/>
        <v>-7.0758480519371439E-3</v>
      </c>
    </row>
    <row r="107" spans="2:7">
      <c r="B107" s="136">
        <v>45657</v>
      </c>
      <c r="C107" s="137">
        <v>506.85</v>
      </c>
      <c r="D107" s="138">
        <v>23644.799999999999</v>
      </c>
      <c r="F107" s="140">
        <f t="shared" si="3"/>
        <v>1.6798418972332465E-3</v>
      </c>
      <c r="G107" s="140">
        <f t="shared" si="2"/>
        <v>-4.2292418239105594E-6</v>
      </c>
    </row>
    <row r="108" spans="2:7">
      <c r="B108" s="136">
        <v>45658</v>
      </c>
      <c r="C108" s="137">
        <v>511</v>
      </c>
      <c r="D108" s="138">
        <v>23742.9</v>
      </c>
      <c r="F108" s="140">
        <f t="shared" si="3"/>
        <v>8.187826773207018E-3</v>
      </c>
      <c r="G108" s="140">
        <f t="shared" si="2"/>
        <v>4.1489037758831622E-3</v>
      </c>
    </row>
    <row r="109" spans="2:7">
      <c r="B109" s="136">
        <v>45659</v>
      </c>
      <c r="C109" s="137">
        <v>513.29999999999995</v>
      </c>
      <c r="D109" s="138">
        <v>24188.65</v>
      </c>
      <c r="F109" s="140">
        <f t="shared" si="3"/>
        <v>4.5009784735811241E-3</v>
      </c>
      <c r="G109" s="140">
        <f t="shared" si="2"/>
        <v>1.8774033500541212E-2</v>
      </c>
    </row>
    <row r="110" spans="2:7">
      <c r="B110" s="136">
        <v>45660</v>
      </c>
      <c r="C110" s="137">
        <v>525.04999999999995</v>
      </c>
      <c r="D110" s="138">
        <v>24004.75</v>
      </c>
      <c r="F110" s="140">
        <f t="shared" si="3"/>
        <v>2.2891096824469125E-2</v>
      </c>
      <c r="G110" s="140">
        <f t="shared" si="2"/>
        <v>-7.6027393012839265E-3</v>
      </c>
    </row>
    <row r="111" spans="2:7">
      <c r="B111" s="136">
        <v>45663</v>
      </c>
      <c r="C111" s="137">
        <v>504.8</v>
      </c>
      <c r="D111" s="138">
        <v>23616.05</v>
      </c>
      <c r="F111" s="140">
        <f t="shared" si="3"/>
        <v>-3.856775545186162E-2</v>
      </c>
      <c r="G111" s="140">
        <f t="shared" si="2"/>
        <v>-1.6192628542267707E-2</v>
      </c>
    </row>
    <row r="112" spans="2:7">
      <c r="B112" s="136">
        <v>45664</v>
      </c>
      <c r="C112" s="137">
        <v>509.15</v>
      </c>
      <c r="D112" s="138">
        <v>23707.9</v>
      </c>
      <c r="F112" s="140">
        <f t="shared" si="3"/>
        <v>8.6172741679872537E-3</v>
      </c>
      <c r="G112" s="140">
        <f t="shared" si="2"/>
        <v>3.889304096155038E-3</v>
      </c>
    </row>
    <row r="113" spans="2:7">
      <c r="B113" s="136">
        <v>45665</v>
      </c>
      <c r="C113" s="137">
        <v>513.70000000000005</v>
      </c>
      <c r="D113" s="138">
        <v>23688.95</v>
      </c>
      <c r="F113" s="140">
        <f t="shared" si="3"/>
        <v>8.9364627320044545E-3</v>
      </c>
      <c r="G113" s="140">
        <f t="shared" si="2"/>
        <v>-7.9931162186447249E-4</v>
      </c>
    </row>
    <row r="114" spans="2:7">
      <c r="B114" s="136">
        <v>45666</v>
      </c>
      <c r="C114" s="137">
        <v>521.04999999999995</v>
      </c>
      <c r="D114" s="138">
        <v>23526.5</v>
      </c>
      <c r="F114" s="140">
        <f t="shared" si="3"/>
        <v>1.43079618454349E-2</v>
      </c>
      <c r="G114" s="140">
        <f t="shared" si="2"/>
        <v>-6.8576277124988956E-3</v>
      </c>
    </row>
    <row r="115" spans="2:7">
      <c r="B115" s="136">
        <v>45667</v>
      </c>
      <c r="C115" s="137">
        <v>517.79999999999995</v>
      </c>
      <c r="D115" s="138">
        <v>23431.5</v>
      </c>
      <c r="F115" s="140">
        <f t="shared" si="3"/>
        <v>-6.2374052394204016E-3</v>
      </c>
      <c r="G115" s="140">
        <f t="shared" si="2"/>
        <v>-4.0379997024631801E-3</v>
      </c>
    </row>
    <row r="116" spans="2:7">
      <c r="B116" s="136">
        <v>45670</v>
      </c>
      <c r="C116" s="137">
        <v>510.8</v>
      </c>
      <c r="D116" s="138">
        <v>23085.95</v>
      </c>
      <c r="F116" s="140">
        <f t="shared" si="3"/>
        <v>-1.3518733101583514E-2</v>
      </c>
      <c r="G116" s="140">
        <f t="shared" si="2"/>
        <v>-1.4747241960608552E-2</v>
      </c>
    </row>
    <row r="117" spans="2:7">
      <c r="B117" s="136">
        <v>45671</v>
      </c>
      <c r="C117" s="137">
        <v>512.95000000000005</v>
      </c>
      <c r="D117" s="138">
        <v>23176.05</v>
      </c>
      <c r="F117" s="140">
        <f t="shared" si="3"/>
        <v>4.2090837901331913E-3</v>
      </c>
      <c r="G117" s="140">
        <f t="shared" si="2"/>
        <v>3.9028066854514777E-3</v>
      </c>
    </row>
    <row r="118" spans="2:7">
      <c r="B118" s="136">
        <v>45672</v>
      </c>
      <c r="C118" s="137">
        <v>514.70000000000005</v>
      </c>
      <c r="D118" s="138">
        <v>23213.200000000001</v>
      </c>
      <c r="F118" s="140">
        <f t="shared" si="3"/>
        <v>3.4116385612632809E-3</v>
      </c>
      <c r="G118" s="140">
        <f t="shared" si="2"/>
        <v>1.6029478707545702E-3</v>
      </c>
    </row>
    <row r="119" spans="2:7">
      <c r="B119" s="136">
        <v>45673</v>
      </c>
      <c r="C119" s="137">
        <v>522.45000000000005</v>
      </c>
      <c r="D119" s="138">
        <v>23311.8</v>
      </c>
      <c r="F119" s="140">
        <f t="shared" si="3"/>
        <v>1.5057314940742179E-2</v>
      </c>
      <c r="G119" s="140">
        <f t="shared" si="2"/>
        <v>4.2475832715867931E-3</v>
      </c>
    </row>
    <row r="120" spans="2:7">
      <c r="B120" s="136">
        <v>45674</v>
      </c>
      <c r="C120" s="137">
        <v>525.95000000000005</v>
      </c>
      <c r="D120" s="138">
        <v>23203.200000000001</v>
      </c>
      <c r="F120" s="140">
        <f t="shared" si="3"/>
        <v>6.6992056656139335E-3</v>
      </c>
      <c r="G120" s="140">
        <f t="shared" si="2"/>
        <v>-4.6585849226571325E-3</v>
      </c>
    </row>
    <row r="121" spans="2:7">
      <c r="B121" s="136">
        <v>45677</v>
      </c>
      <c r="C121" s="137">
        <v>521.29999999999995</v>
      </c>
      <c r="D121" s="138">
        <v>23344.75</v>
      </c>
      <c r="F121" s="140">
        <f t="shared" si="3"/>
        <v>-8.8411445954940399E-3</v>
      </c>
      <c r="G121" s="140">
        <f t="shared" si="2"/>
        <v>6.1004516618397148E-3</v>
      </c>
    </row>
    <row r="122" spans="2:7">
      <c r="B122" s="136">
        <v>45678</v>
      </c>
      <c r="C122" s="137">
        <v>521.15</v>
      </c>
      <c r="D122" s="138">
        <v>23024.65</v>
      </c>
      <c r="F122" s="140">
        <f t="shared" si="3"/>
        <v>-2.8774218300398481E-4</v>
      </c>
      <c r="G122" s="140">
        <f t="shared" si="2"/>
        <v>-1.3711862410177815E-2</v>
      </c>
    </row>
    <row r="123" spans="2:7">
      <c r="B123" s="136">
        <v>45679</v>
      </c>
      <c r="C123" s="137">
        <v>520.79999999999995</v>
      </c>
      <c r="D123" s="138">
        <v>23155.35</v>
      </c>
      <c r="F123" s="140">
        <f t="shared" si="3"/>
        <v>-6.7159167226330755E-4</v>
      </c>
      <c r="G123" s="140">
        <f t="shared" si="2"/>
        <v>5.6765249417470879E-3</v>
      </c>
    </row>
    <row r="124" spans="2:7">
      <c r="B124" s="136">
        <v>45680</v>
      </c>
      <c r="C124" s="137">
        <v>524.15</v>
      </c>
      <c r="D124" s="138">
        <v>23205.35</v>
      </c>
      <c r="F124" s="140">
        <f t="shared" si="3"/>
        <v>6.4324116743472021E-3</v>
      </c>
      <c r="G124" s="140">
        <f t="shared" si="2"/>
        <v>2.1593281898135853E-3</v>
      </c>
    </row>
    <row r="125" spans="2:7">
      <c r="B125" s="136">
        <v>45681</v>
      </c>
      <c r="C125" s="137">
        <v>521.9</v>
      </c>
      <c r="D125" s="138">
        <v>23092.2</v>
      </c>
      <c r="F125" s="140">
        <f t="shared" si="3"/>
        <v>-4.292664313650673E-3</v>
      </c>
      <c r="G125" s="140">
        <f t="shared" si="2"/>
        <v>-4.8760307429104848E-3</v>
      </c>
    </row>
    <row r="126" spans="2:7">
      <c r="B126" s="136">
        <v>45684</v>
      </c>
      <c r="C126" s="137">
        <v>523.29999999999995</v>
      </c>
      <c r="D126" s="138">
        <v>22829.15</v>
      </c>
      <c r="F126" s="140">
        <f t="shared" si="3"/>
        <v>2.6825062272465556E-3</v>
      </c>
      <c r="G126" s="140">
        <f t="shared" si="2"/>
        <v>-1.1391292297832136E-2</v>
      </c>
    </row>
    <row r="127" spans="2:7">
      <c r="B127" s="136">
        <v>45685</v>
      </c>
      <c r="C127" s="137">
        <v>524.25</v>
      </c>
      <c r="D127" s="138">
        <v>22957.25</v>
      </c>
      <c r="F127" s="140">
        <f t="shared" si="3"/>
        <v>1.8154022549207826E-3</v>
      </c>
      <c r="G127" s="140">
        <f t="shared" si="2"/>
        <v>5.6112470240897508E-3</v>
      </c>
    </row>
    <row r="128" spans="2:7">
      <c r="B128" s="136">
        <v>45686</v>
      </c>
      <c r="C128" s="137">
        <v>518.15</v>
      </c>
      <c r="D128" s="138">
        <v>23163.1</v>
      </c>
      <c r="F128" s="140">
        <f t="shared" si="3"/>
        <v>-1.1635670004768761E-2</v>
      </c>
      <c r="G128" s="140">
        <f t="shared" si="2"/>
        <v>8.9666663036730675E-3</v>
      </c>
    </row>
    <row r="129" spans="2:7">
      <c r="B129" s="136">
        <v>45687</v>
      </c>
      <c r="C129" s="137">
        <v>533.70000000000005</v>
      </c>
      <c r="D129" s="138">
        <v>23249.5</v>
      </c>
      <c r="F129" s="140">
        <f t="shared" si="3"/>
        <v>3.001061468686687E-2</v>
      </c>
      <c r="G129" s="140">
        <f t="shared" si="2"/>
        <v>3.7300706727511198E-3</v>
      </c>
    </row>
    <row r="130" spans="2:7">
      <c r="B130" s="136">
        <v>45688</v>
      </c>
      <c r="C130" s="137">
        <v>529.4</v>
      </c>
      <c r="D130" s="138">
        <v>23508.400000000001</v>
      </c>
      <c r="F130" s="140">
        <f t="shared" si="3"/>
        <v>-8.0569608394230243E-3</v>
      </c>
      <c r="G130" s="140">
        <f t="shared" si="2"/>
        <v>1.1135723348889286E-2</v>
      </c>
    </row>
    <row r="131" spans="2:7">
      <c r="B131" s="136">
        <v>45689</v>
      </c>
      <c r="C131" s="137">
        <v>538</v>
      </c>
      <c r="D131" s="138">
        <v>23482.15</v>
      </c>
      <c r="F131" s="140">
        <f t="shared" si="3"/>
        <v>1.6244805440120934E-2</v>
      </c>
      <c r="G131" s="140">
        <f t="shared" si="2"/>
        <v>-1.1166221435742116E-3</v>
      </c>
    </row>
    <row r="132" spans="2:7">
      <c r="B132" s="136">
        <v>45691</v>
      </c>
      <c r="C132" s="137">
        <v>534.4</v>
      </c>
      <c r="D132" s="138">
        <v>23361.05</v>
      </c>
      <c r="F132" s="140">
        <f t="shared" si="3"/>
        <v>-6.6914498141264359E-3</v>
      </c>
      <c r="G132" s="140">
        <f t="shared" si="2"/>
        <v>-5.1571086974575228E-3</v>
      </c>
    </row>
    <row r="133" spans="2:7">
      <c r="B133" s="136">
        <v>45692</v>
      </c>
      <c r="C133" s="137">
        <v>541.25</v>
      </c>
      <c r="D133" s="138">
        <v>23739.25</v>
      </c>
      <c r="F133" s="140">
        <f t="shared" si="3"/>
        <v>1.2818113772455134E-2</v>
      </c>
      <c r="G133" s="140">
        <f t="shared" si="2"/>
        <v>1.6189340804458736E-2</v>
      </c>
    </row>
    <row r="134" spans="2:7">
      <c r="B134" s="136">
        <v>45693</v>
      </c>
      <c r="C134" s="137">
        <v>531.45000000000005</v>
      </c>
      <c r="D134" s="138">
        <v>23696.3</v>
      </c>
      <c r="F134" s="140">
        <f t="shared" si="3"/>
        <v>-1.8106235565819778E-2</v>
      </c>
      <c r="G134" s="140">
        <f t="shared" ref="G134:G197" si="4">(D134-D133)/D133</f>
        <v>-1.8092399717767296E-3</v>
      </c>
    </row>
    <row r="135" spans="2:7">
      <c r="B135" s="136">
        <v>45694</v>
      </c>
      <c r="C135" s="137">
        <v>526.20000000000005</v>
      </c>
      <c r="D135" s="138">
        <v>23603.35</v>
      </c>
      <c r="F135" s="140">
        <f t="shared" si="3"/>
        <v>-9.8786339260513688E-3</v>
      </c>
      <c r="G135" s="140">
        <f t="shared" si="4"/>
        <v>-3.9225533100104544E-3</v>
      </c>
    </row>
    <row r="136" spans="2:7">
      <c r="B136" s="136">
        <v>45695</v>
      </c>
      <c r="C136" s="137">
        <v>527.25</v>
      </c>
      <c r="D136" s="138">
        <v>23559.95</v>
      </c>
      <c r="F136" s="140">
        <f t="shared" ref="F136:F199" si="5">(C136-C135)/C135</f>
        <v>1.9954389965791608E-3</v>
      </c>
      <c r="G136" s="140">
        <f t="shared" si="4"/>
        <v>-1.8387220458112013E-3</v>
      </c>
    </row>
    <row r="137" spans="2:7">
      <c r="B137" s="136">
        <v>45698</v>
      </c>
      <c r="C137" s="137">
        <v>528.35</v>
      </c>
      <c r="D137" s="138">
        <v>23381.599999999999</v>
      </c>
      <c r="F137" s="140">
        <f t="shared" si="5"/>
        <v>2.0862968231389716E-3</v>
      </c>
      <c r="G137" s="140">
        <f t="shared" si="4"/>
        <v>-7.5700500213286602E-3</v>
      </c>
    </row>
    <row r="138" spans="2:7">
      <c r="B138" s="136">
        <v>45699</v>
      </c>
      <c r="C138" s="137">
        <v>517.54999999999995</v>
      </c>
      <c r="D138" s="138">
        <v>23071.8</v>
      </c>
      <c r="F138" s="140">
        <f t="shared" si="5"/>
        <v>-2.0440995552190911E-2</v>
      </c>
      <c r="G138" s="140">
        <f t="shared" si="4"/>
        <v>-1.3249734834228593E-2</v>
      </c>
    </row>
    <row r="139" spans="2:7">
      <c r="B139" s="136">
        <v>45700</v>
      </c>
      <c r="C139" s="137">
        <v>525.5</v>
      </c>
      <c r="D139" s="138">
        <v>23045.25</v>
      </c>
      <c r="F139" s="140">
        <f t="shared" si="5"/>
        <v>1.5360834701961252E-2</v>
      </c>
      <c r="G139" s="140">
        <f t="shared" si="4"/>
        <v>-1.1507554677138009E-3</v>
      </c>
    </row>
    <row r="140" spans="2:7">
      <c r="B140" s="136">
        <v>45701</v>
      </c>
      <c r="C140" s="137">
        <v>519.9</v>
      </c>
      <c r="D140" s="138">
        <v>23031.4</v>
      </c>
      <c r="F140" s="140">
        <f t="shared" si="5"/>
        <v>-1.0656517602283583E-2</v>
      </c>
      <c r="G140" s="140">
        <f t="shared" si="4"/>
        <v>-6.0099152753814971E-4</v>
      </c>
    </row>
    <row r="141" spans="2:7">
      <c r="B141" s="136">
        <v>45702</v>
      </c>
      <c r="C141" s="137">
        <v>519.79999999999995</v>
      </c>
      <c r="D141" s="138">
        <v>22929.25</v>
      </c>
      <c r="F141" s="140">
        <f t="shared" si="5"/>
        <v>-1.9234468166959558E-4</v>
      </c>
      <c r="G141" s="140">
        <f t="shared" si="4"/>
        <v>-4.4352492683901734E-3</v>
      </c>
    </row>
    <row r="142" spans="2:7">
      <c r="B142" s="136">
        <v>45705</v>
      </c>
      <c r="C142" s="137">
        <v>520.70000000000005</v>
      </c>
      <c r="D142" s="138">
        <v>22959.5</v>
      </c>
      <c r="F142" s="140">
        <f t="shared" si="5"/>
        <v>1.7314351673722412E-3</v>
      </c>
      <c r="G142" s="140">
        <f t="shared" si="4"/>
        <v>1.3192755977626831E-3</v>
      </c>
    </row>
    <row r="143" spans="2:7">
      <c r="B143" s="136">
        <v>45706</v>
      </c>
      <c r="C143" s="137">
        <v>515</v>
      </c>
      <c r="D143" s="138">
        <v>22945.3</v>
      </c>
      <c r="F143" s="140">
        <f t="shared" si="5"/>
        <v>-1.0946802381409727E-2</v>
      </c>
      <c r="G143" s="140">
        <f t="shared" si="4"/>
        <v>-6.184803676038558E-4</v>
      </c>
    </row>
    <row r="144" spans="2:7">
      <c r="B144" s="136">
        <v>45707</v>
      </c>
      <c r="C144" s="137">
        <v>504.55</v>
      </c>
      <c r="D144" s="138">
        <v>22932.9</v>
      </c>
      <c r="F144" s="140">
        <f t="shared" si="5"/>
        <v>-2.0291262135922309E-2</v>
      </c>
      <c r="G144" s="140">
        <f t="shared" si="4"/>
        <v>-5.4041568425768321E-4</v>
      </c>
    </row>
    <row r="145" spans="2:7">
      <c r="B145" s="136">
        <v>45708</v>
      </c>
      <c r="C145" s="137">
        <v>510.25</v>
      </c>
      <c r="D145" s="138">
        <v>22913.15</v>
      </c>
      <c r="F145" s="140">
        <f t="shared" si="5"/>
        <v>1.1297195520761052E-2</v>
      </c>
      <c r="G145" s="140">
        <f t="shared" si="4"/>
        <v>-8.6120813329321623E-4</v>
      </c>
    </row>
    <row r="146" spans="2:7">
      <c r="B146" s="136">
        <v>45709</v>
      </c>
      <c r="C146" s="137">
        <v>508.35</v>
      </c>
      <c r="D146" s="138">
        <v>22795.9</v>
      </c>
      <c r="F146" s="140">
        <f t="shared" si="5"/>
        <v>-3.7236648701616409E-3</v>
      </c>
      <c r="G146" s="140">
        <f t="shared" si="4"/>
        <v>-5.1171488861199788E-3</v>
      </c>
    </row>
    <row r="147" spans="2:7">
      <c r="B147" s="136">
        <v>45712</v>
      </c>
      <c r="C147" s="137">
        <v>505.55</v>
      </c>
      <c r="D147" s="138">
        <v>22553.35</v>
      </c>
      <c r="F147" s="140">
        <f t="shared" si="5"/>
        <v>-5.5080161306186905E-3</v>
      </c>
      <c r="G147" s="140">
        <f t="shared" si="4"/>
        <v>-1.0640071240881163E-2</v>
      </c>
    </row>
    <row r="148" spans="2:7">
      <c r="B148" s="136">
        <v>45713</v>
      </c>
      <c r="C148" s="137">
        <v>510.15</v>
      </c>
      <c r="D148" s="138">
        <v>22547.55</v>
      </c>
      <c r="F148" s="140">
        <f t="shared" si="5"/>
        <v>9.099001087923976E-3</v>
      </c>
      <c r="G148" s="140">
        <f t="shared" si="4"/>
        <v>-2.571680038663557E-4</v>
      </c>
    </row>
    <row r="149" spans="2:7">
      <c r="B149" s="136">
        <v>45715</v>
      </c>
      <c r="C149" s="137">
        <v>503.65</v>
      </c>
      <c r="D149" s="138">
        <v>22545.05</v>
      </c>
      <c r="F149" s="140">
        <f t="shared" si="5"/>
        <v>-1.2741350583161816E-2</v>
      </c>
      <c r="G149" s="140">
        <f t="shared" si="4"/>
        <v>-1.1087679149175853E-4</v>
      </c>
    </row>
    <row r="150" spans="2:7">
      <c r="B150" s="136">
        <v>45716</v>
      </c>
      <c r="C150" s="137">
        <v>494.15</v>
      </c>
      <c r="D150" s="138">
        <v>22124.7</v>
      </c>
      <c r="F150" s="140">
        <f t="shared" si="5"/>
        <v>-1.8862305172242629E-2</v>
      </c>
      <c r="G150" s="140">
        <f t="shared" si="4"/>
        <v>-1.8644891007116797E-2</v>
      </c>
    </row>
    <row r="151" spans="2:7">
      <c r="B151" s="136">
        <v>45719</v>
      </c>
      <c r="C151" s="137">
        <v>491.35</v>
      </c>
      <c r="D151" s="138">
        <v>22119.3</v>
      </c>
      <c r="F151" s="140">
        <f t="shared" si="5"/>
        <v>-5.6662956592126975E-3</v>
      </c>
      <c r="G151" s="140">
        <f t="shared" si="4"/>
        <v>-2.4407110604896133E-4</v>
      </c>
    </row>
    <row r="152" spans="2:7">
      <c r="B152" s="136">
        <v>45720</v>
      </c>
      <c r="C152" s="137">
        <v>483.35</v>
      </c>
      <c r="D152" s="138">
        <v>22082.65</v>
      </c>
      <c r="F152" s="140">
        <f t="shared" si="5"/>
        <v>-1.6281672941894778E-2</v>
      </c>
      <c r="G152" s="140">
        <f t="shared" si="4"/>
        <v>-1.656924043708337E-3</v>
      </c>
    </row>
    <row r="153" spans="2:7">
      <c r="B153" s="136">
        <v>45721</v>
      </c>
      <c r="C153" s="137">
        <v>488.1</v>
      </c>
      <c r="D153" s="138">
        <v>22337.3</v>
      </c>
      <c r="F153" s="140">
        <f t="shared" si="5"/>
        <v>9.8272473362987483E-3</v>
      </c>
      <c r="G153" s="140">
        <f t="shared" si="4"/>
        <v>1.1531677583985519E-2</v>
      </c>
    </row>
    <row r="154" spans="2:7">
      <c r="B154" s="136">
        <v>45722</v>
      </c>
      <c r="C154" s="137">
        <v>495.05</v>
      </c>
      <c r="D154" s="138">
        <v>22544.7</v>
      </c>
      <c r="F154" s="140">
        <f t="shared" si="5"/>
        <v>1.4238885474288032E-2</v>
      </c>
      <c r="G154" s="140">
        <f t="shared" si="4"/>
        <v>9.2849180518684658E-3</v>
      </c>
    </row>
    <row r="155" spans="2:7">
      <c r="B155" s="136">
        <v>45723</v>
      </c>
      <c r="C155" s="137">
        <v>495.5</v>
      </c>
      <c r="D155" s="138">
        <v>22552.5</v>
      </c>
      <c r="F155" s="140">
        <f t="shared" si="5"/>
        <v>9.0899909100088604E-4</v>
      </c>
      <c r="G155" s="140">
        <f t="shared" si="4"/>
        <v>3.4597932108208459E-4</v>
      </c>
    </row>
    <row r="156" spans="2:7">
      <c r="B156" s="136">
        <v>45726</v>
      </c>
      <c r="C156" s="137">
        <v>493.25</v>
      </c>
      <c r="D156" s="138">
        <v>22460.3</v>
      </c>
      <c r="F156" s="140">
        <f t="shared" si="5"/>
        <v>-4.5408678102926339E-3</v>
      </c>
      <c r="G156" s="140">
        <f t="shared" si="4"/>
        <v>-4.0882385544840144E-3</v>
      </c>
    </row>
    <row r="157" spans="2:7">
      <c r="B157" s="136">
        <v>45727</v>
      </c>
      <c r="C157" s="137">
        <v>497.6</v>
      </c>
      <c r="D157" s="138">
        <v>22497.9</v>
      </c>
      <c r="F157" s="140">
        <f t="shared" si="5"/>
        <v>8.8190572731880849E-3</v>
      </c>
      <c r="G157" s="140">
        <f t="shared" si="4"/>
        <v>1.6740649056335927E-3</v>
      </c>
    </row>
    <row r="158" spans="2:7">
      <c r="B158" s="136">
        <v>45728</v>
      </c>
      <c r="C158" s="137">
        <v>499.85</v>
      </c>
      <c r="D158" s="138">
        <v>22470.5</v>
      </c>
      <c r="F158" s="140">
        <f t="shared" si="5"/>
        <v>4.5217041800643086E-3</v>
      </c>
      <c r="G158" s="140">
        <f t="shared" si="4"/>
        <v>-1.2178914476462894E-3</v>
      </c>
    </row>
    <row r="159" spans="2:7">
      <c r="B159" s="136">
        <v>45729</v>
      </c>
      <c r="C159" s="137">
        <v>500.95</v>
      </c>
      <c r="D159" s="138">
        <v>22397.200000000001</v>
      </c>
      <c r="F159" s="140">
        <f t="shared" si="5"/>
        <v>2.2006601980593494E-3</v>
      </c>
      <c r="G159" s="140">
        <f t="shared" si="4"/>
        <v>-3.262054693932012E-3</v>
      </c>
    </row>
    <row r="160" spans="2:7">
      <c r="B160" s="136">
        <v>45733</v>
      </c>
      <c r="C160" s="137">
        <v>494.85</v>
      </c>
      <c r="D160" s="138">
        <v>22508.75</v>
      </c>
      <c r="F160" s="140">
        <f t="shared" si="5"/>
        <v>-1.2176863958478822E-2</v>
      </c>
      <c r="G160" s="140">
        <f t="shared" si="4"/>
        <v>4.9805332809458001E-3</v>
      </c>
    </row>
    <row r="161" spans="2:7">
      <c r="B161" s="136">
        <v>45734</v>
      </c>
      <c r="C161" s="137">
        <v>499.1</v>
      </c>
      <c r="D161" s="138">
        <v>22834.3</v>
      </c>
      <c r="F161" s="140">
        <f t="shared" si="5"/>
        <v>8.5884611498433863E-3</v>
      </c>
      <c r="G161" s="140">
        <f t="shared" si="4"/>
        <v>1.4463264286110925E-2</v>
      </c>
    </row>
    <row r="162" spans="2:7">
      <c r="B162" s="136">
        <v>45735</v>
      </c>
      <c r="C162" s="137">
        <v>495.1</v>
      </c>
      <c r="D162" s="138">
        <v>22907.599999999999</v>
      </c>
      <c r="F162" s="140">
        <f t="shared" si="5"/>
        <v>-8.014425966740131E-3</v>
      </c>
      <c r="G162" s="140">
        <f t="shared" si="4"/>
        <v>3.2100830767748203E-3</v>
      </c>
    </row>
    <row r="163" spans="2:7">
      <c r="B163" s="136">
        <v>45736</v>
      </c>
      <c r="C163" s="137">
        <v>499.2</v>
      </c>
      <c r="D163" s="138">
        <v>23190.65</v>
      </c>
      <c r="F163" s="140">
        <f t="shared" si="5"/>
        <v>8.2811553221570702E-3</v>
      </c>
      <c r="G163" s="140">
        <f t="shared" si="4"/>
        <v>1.23561612739878E-2</v>
      </c>
    </row>
    <row r="164" spans="2:7">
      <c r="B164" s="136">
        <v>45737</v>
      </c>
      <c r="C164" s="137">
        <v>507.05</v>
      </c>
      <c r="D164" s="138">
        <v>23350.400000000001</v>
      </c>
      <c r="F164" s="140">
        <f t="shared" si="5"/>
        <v>1.5725160256410301E-2</v>
      </c>
      <c r="G164" s="140">
        <f t="shared" si="4"/>
        <v>6.8885520673202345E-3</v>
      </c>
    </row>
    <row r="165" spans="2:7">
      <c r="B165" s="136">
        <v>45740</v>
      </c>
      <c r="C165" s="137">
        <v>507.05</v>
      </c>
      <c r="D165" s="138">
        <v>23658.35</v>
      </c>
      <c r="F165" s="140">
        <f t="shared" si="5"/>
        <v>0</v>
      </c>
      <c r="G165" s="140">
        <f t="shared" si="4"/>
        <v>1.3188210908592447E-2</v>
      </c>
    </row>
    <row r="166" spans="2:7">
      <c r="B166" s="136">
        <v>45741</v>
      </c>
      <c r="C166" s="137">
        <v>509.05</v>
      </c>
      <c r="D166" s="138">
        <v>23668.65</v>
      </c>
      <c r="F166" s="140">
        <f t="shared" si="5"/>
        <v>3.9443841830194264E-3</v>
      </c>
      <c r="G166" s="140">
        <f t="shared" si="4"/>
        <v>4.3536425828525282E-4</v>
      </c>
    </row>
    <row r="167" spans="2:7">
      <c r="B167" s="136">
        <v>45742</v>
      </c>
      <c r="C167" s="137">
        <v>509</v>
      </c>
      <c r="D167" s="138">
        <v>23486.85</v>
      </c>
      <c r="F167" s="140">
        <f t="shared" si="5"/>
        <v>-9.8222178567942966E-5</v>
      </c>
      <c r="G167" s="140">
        <f t="shared" si="4"/>
        <v>-7.6810464475161409E-3</v>
      </c>
    </row>
    <row r="168" spans="2:7">
      <c r="B168" s="136">
        <v>45743</v>
      </c>
      <c r="C168" s="137">
        <v>512.65</v>
      </c>
      <c r="D168" s="138">
        <v>23591.95</v>
      </c>
      <c r="F168" s="140">
        <f t="shared" si="5"/>
        <v>7.1709233791748079E-3</v>
      </c>
      <c r="G168" s="140">
        <f t="shared" si="4"/>
        <v>4.4748444342260539E-3</v>
      </c>
    </row>
    <row r="169" spans="2:7">
      <c r="B169" s="136">
        <v>45744</v>
      </c>
      <c r="C169" s="137">
        <v>506.55</v>
      </c>
      <c r="D169" s="138">
        <v>23519.35</v>
      </c>
      <c r="F169" s="140">
        <f t="shared" si="5"/>
        <v>-1.1898956403003933E-2</v>
      </c>
      <c r="G169" s="140">
        <f t="shared" si="4"/>
        <v>-3.077320865803894E-3</v>
      </c>
    </row>
    <row r="170" spans="2:7">
      <c r="B170" s="136">
        <v>45748</v>
      </c>
      <c r="C170" s="137">
        <v>497.6</v>
      </c>
      <c r="D170" s="138">
        <v>23165.7</v>
      </c>
      <c r="F170" s="140">
        <f t="shared" si="5"/>
        <v>-1.7668542098509502E-2</v>
      </c>
      <c r="G170" s="140">
        <f t="shared" si="4"/>
        <v>-1.5036555006834706E-2</v>
      </c>
    </row>
    <row r="171" spans="2:7">
      <c r="B171" s="136">
        <v>45749</v>
      </c>
      <c r="C171" s="137">
        <v>495.5</v>
      </c>
      <c r="D171" s="138">
        <v>23332.35</v>
      </c>
      <c r="F171" s="140">
        <f t="shared" si="5"/>
        <v>-4.2202572347267335E-3</v>
      </c>
      <c r="G171" s="140">
        <f t="shared" si="4"/>
        <v>7.1938253538635921E-3</v>
      </c>
    </row>
    <row r="172" spans="2:7">
      <c r="B172" s="136">
        <v>45750</v>
      </c>
      <c r="C172" s="137">
        <v>465.6</v>
      </c>
      <c r="D172" s="138">
        <v>23250.1</v>
      </c>
      <c r="F172" s="140">
        <f t="shared" si="5"/>
        <v>-6.0343087790110952E-2</v>
      </c>
      <c r="G172" s="140">
        <f t="shared" si="4"/>
        <v>-3.5251485598321647E-3</v>
      </c>
    </row>
    <row r="173" spans="2:7">
      <c r="B173" s="136">
        <v>45751</v>
      </c>
      <c r="C173" s="137">
        <v>461.75</v>
      </c>
      <c r="D173" s="138">
        <v>22904.45</v>
      </c>
      <c r="F173" s="140">
        <f t="shared" si="5"/>
        <v>-8.2689003436426604E-3</v>
      </c>
      <c r="G173" s="140">
        <f t="shared" si="4"/>
        <v>-1.4866602724289265E-2</v>
      </c>
    </row>
    <row r="174" spans="2:7">
      <c r="B174" s="136">
        <v>45754</v>
      </c>
      <c r="C174" s="137">
        <v>451.45</v>
      </c>
      <c r="D174" s="138">
        <v>22161.599999999999</v>
      </c>
      <c r="F174" s="140">
        <f t="shared" si="5"/>
        <v>-2.2306442880346531E-2</v>
      </c>
      <c r="G174" s="140">
        <f t="shared" si="4"/>
        <v>-3.2432562231356883E-2</v>
      </c>
    </row>
    <row r="175" spans="2:7">
      <c r="B175" s="136">
        <v>45755</v>
      </c>
      <c r="C175" s="137">
        <v>459.35</v>
      </c>
      <c r="D175" s="138">
        <v>22535.85</v>
      </c>
      <c r="F175" s="140">
        <f t="shared" si="5"/>
        <v>1.7499169343227455E-2</v>
      </c>
      <c r="G175" s="140">
        <f t="shared" si="4"/>
        <v>1.6887318605154862E-2</v>
      </c>
    </row>
    <row r="176" spans="2:7">
      <c r="B176" s="136">
        <v>45756</v>
      </c>
      <c r="C176" s="137">
        <v>465.6</v>
      </c>
      <c r="D176" s="138">
        <v>22399.15</v>
      </c>
      <c r="F176" s="140">
        <f t="shared" si="5"/>
        <v>1.3606182649395886E-2</v>
      </c>
      <c r="G176" s="140">
        <f t="shared" si="4"/>
        <v>-6.06589056991403E-3</v>
      </c>
    </row>
    <row r="177" spans="2:7">
      <c r="B177" s="136">
        <v>45758</v>
      </c>
      <c r="C177" s="137">
        <v>461.3</v>
      </c>
      <c r="D177" s="138">
        <v>22828.55</v>
      </c>
      <c r="F177" s="140">
        <f t="shared" si="5"/>
        <v>-9.2353951890034609E-3</v>
      </c>
      <c r="G177" s="140">
        <f t="shared" si="4"/>
        <v>1.9170370304230196E-2</v>
      </c>
    </row>
    <row r="178" spans="2:7">
      <c r="B178" s="136">
        <v>45762</v>
      </c>
      <c r="C178" s="137">
        <v>473.55</v>
      </c>
      <c r="D178" s="138">
        <v>23328.55</v>
      </c>
      <c r="F178" s="140">
        <f t="shared" si="5"/>
        <v>2.6555386949924126E-2</v>
      </c>
      <c r="G178" s="140">
        <f t="shared" si="4"/>
        <v>2.1902398531663203E-2</v>
      </c>
    </row>
    <row r="179" spans="2:7">
      <c r="B179" s="136">
        <v>45763</v>
      </c>
      <c r="C179" s="137">
        <v>481.3</v>
      </c>
      <c r="D179" s="138">
        <v>23437.200000000001</v>
      </c>
      <c r="F179" s="140">
        <f t="shared" si="5"/>
        <v>1.6365748073065147E-2</v>
      </c>
      <c r="G179" s="140">
        <f t="shared" si="4"/>
        <v>4.6573833350123115E-3</v>
      </c>
    </row>
    <row r="180" spans="2:7">
      <c r="B180" s="136">
        <v>45764</v>
      </c>
      <c r="C180" s="137">
        <v>479.2</v>
      </c>
      <c r="D180" s="138">
        <v>23851.65</v>
      </c>
      <c r="F180" s="140">
        <f t="shared" si="5"/>
        <v>-4.3631830459173546E-3</v>
      </c>
      <c r="G180" s="140">
        <f t="shared" si="4"/>
        <v>1.7683426347857283E-2</v>
      </c>
    </row>
    <row r="181" spans="2:7">
      <c r="B181" s="136">
        <v>45768</v>
      </c>
      <c r="C181" s="137">
        <v>475.5</v>
      </c>
      <c r="D181" s="138">
        <v>24125.55</v>
      </c>
      <c r="F181" s="140">
        <f t="shared" si="5"/>
        <v>-7.7212020033388742E-3</v>
      </c>
      <c r="G181" s="140">
        <f t="shared" si="4"/>
        <v>1.1483482274811085E-2</v>
      </c>
    </row>
    <row r="182" spans="2:7">
      <c r="B182" s="136">
        <v>45769</v>
      </c>
      <c r="C182" s="137">
        <v>484.55</v>
      </c>
      <c r="D182" s="138">
        <v>24167.25</v>
      </c>
      <c r="F182" s="140">
        <f t="shared" si="5"/>
        <v>1.9032597266035775E-2</v>
      </c>
      <c r="G182" s="140">
        <f t="shared" si="4"/>
        <v>1.7284580040662588E-3</v>
      </c>
    </row>
    <row r="183" spans="2:7">
      <c r="B183" s="136">
        <v>45770</v>
      </c>
      <c r="C183" s="137">
        <v>486</v>
      </c>
      <c r="D183" s="138">
        <v>24328.95</v>
      </c>
      <c r="F183" s="140">
        <f t="shared" si="5"/>
        <v>2.9924672376431503E-3</v>
      </c>
      <c r="G183" s="140">
        <f t="shared" si="4"/>
        <v>6.6908729789281248E-3</v>
      </c>
    </row>
    <row r="184" spans="2:7">
      <c r="B184" s="136">
        <v>45771</v>
      </c>
      <c r="C184" s="137">
        <v>491.4</v>
      </c>
      <c r="D184" s="138">
        <v>24246.7</v>
      </c>
      <c r="F184" s="140">
        <f t="shared" si="5"/>
        <v>1.1111111111111065E-2</v>
      </c>
      <c r="G184" s="140">
        <f t="shared" si="4"/>
        <v>-3.3807459836943227E-3</v>
      </c>
    </row>
    <row r="185" spans="2:7">
      <c r="B185" s="136">
        <v>45772</v>
      </c>
      <c r="C185" s="137">
        <v>484.15</v>
      </c>
      <c r="D185" s="138">
        <v>24039.35</v>
      </c>
      <c r="F185" s="140">
        <f t="shared" si="5"/>
        <v>-1.4753764753764755E-2</v>
      </c>
      <c r="G185" s="140">
        <f t="shared" si="4"/>
        <v>-8.5516791975816155E-3</v>
      </c>
    </row>
    <row r="186" spans="2:7">
      <c r="B186" s="136">
        <v>45775</v>
      </c>
      <c r="C186" s="137">
        <v>482.15</v>
      </c>
      <c r="D186" s="138">
        <v>24328.5</v>
      </c>
      <c r="F186" s="140">
        <f t="shared" si="5"/>
        <v>-4.1309511515026332E-3</v>
      </c>
      <c r="G186" s="140">
        <f t="shared" si="4"/>
        <v>1.2028195437896677E-2</v>
      </c>
    </row>
    <row r="187" spans="2:7">
      <c r="B187" s="136">
        <v>45776</v>
      </c>
      <c r="C187" s="137">
        <v>483.7</v>
      </c>
      <c r="D187" s="138">
        <v>24335.95</v>
      </c>
      <c r="F187" s="140">
        <f t="shared" si="5"/>
        <v>3.2147671886342661E-3</v>
      </c>
      <c r="G187" s="140">
        <f t="shared" si="4"/>
        <v>3.0622520911690931E-4</v>
      </c>
    </row>
    <row r="188" spans="2:7">
      <c r="B188" s="136">
        <v>45777</v>
      </c>
      <c r="C188" s="137">
        <v>487.45</v>
      </c>
      <c r="D188" s="138">
        <v>24334.2</v>
      </c>
      <c r="F188" s="140">
        <f t="shared" si="5"/>
        <v>7.7527393012197642E-3</v>
      </c>
      <c r="G188" s="140">
        <f t="shared" si="4"/>
        <v>-7.1910075423396255E-5</v>
      </c>
    </row>
    <row r="189" spans="2:7">
      <c r="B189" s="136">
        <v>45779</v>
      </c>
      <c r="C189" s="137">
        <v>480.4</v>
      </c>
      <c r="D189" s="138">
        <v>24346.7</v>
      </c>
      <c r="F189" s="140">
        <f t="shared" si="5"/>
        <v>-1.4463021848394731E-2</v>
      </c>
      <c r="G189" s="140">
        <f t="shared" si="4"/>
        <v>5.1368033467301161E-4</v>
      </c>
    </row>
    <row r="190" spans="2:7">
      <c r="B190" s="136">
        <v>45782</v>
      </c>
      <c r="C190" s="137">
        <v>481.85</v>
      </c>
      <c r="D190" s="138">
        <v>24461.15</v>
      </c>
      <c r="F190" s="140">
        <f t="shared" si="5"/>
        <v>3.018318068276531E-3</v>
      </c>
      <c r="G190" s="140">
        <f t="shared" si="4"/>
        <v>4.700842413961675E-3</v>
      </c>
    </row>
    <row r="191" spans="2:7">
      <c r="B191" s="136">
        <v>45783</v>
      </c>
      <c r="C191" s="137">
        <v>480.6</v>
      </c>
      <c r="D191" s="138">
        <v>24379.599999999999</v>
      </c>
      <c r="F191" s="140">
        <f t="shared" si="5"/>
        <v>-2.5941683096399291E-3</v>
      </c>
      <c r="G191" s="140">
        <f t="shared" si="4"/>
        <v>-3.333857974788712E-3</v>
      </c>
    </row>
    <row r="192" spans="2:7">
      <c r="B192" s="136">
        <v>45784</v>
      </c>
      <c r="C192" s="137">
        <v>482.6</v>
      </c>
      <c r="D192" s="138">
        <v>24414.400000000001</v>
      </c>
      <c r="F192" s="140">
        <f t="shared" si="5"/>
        <v>4.1614648356221385E-3</v>
      </c>
      <c r="G192" s="140">
        <f t="shared" si="4"/>
        <v>1.4274229273656218E-3</v>
      </c>
    </row>
    <row r="193" spans="2:7">
      <c r="B193" s="136">
        <v>45785</v>
      </c>
      <c r="C193" s="137">
        <v>469.25</v>
      </c>
      <c r="D193" s="138">
        <v>24273.8</v>
      </c>
      <c r="F193" s="140">
        <f t="shared" si="5"/>
        <v>-2.7662660588479118E-2</v>
      </c>
      <c r="G193" s="140">
        <f t="shared" si="4"/>
        <v>-5.7588963890164071E-3</v>
      </c>
    </row>
    <row r="194" spans="2:7">
      <c r="B194" s="136">
        <v>45786</v>
      </c>
      <c r="C194" s="137">
        <v>462.85</v>
      </c>
      <c r="D194" s="138">
        <v>24008</v>
      </c>
      <c r="F194" s="140">
        <f t="shared" si="5"/>
        <v>-1.3638785295684555E-2</v>
      </c>
      <c r="G194" s="140">
        <f t="shared" si="4"/>
        <v>-1.095007786172743E-2</v>
      </c>
    </row>
    <row r="195" spans="2:7">
      <c r="B195" s="136">
        <v>45789</v>
      </c>
      <c r="C195" s="137">
        <v>475.3</v>
      </c>
      <c r="D195" s="138">
        <v>24924.7</v>
      </c>
      <c r="F195" s="140">
        <f t="shared" si="5"/>
        <v>2.6898563249432836E-2</v>
      </c>
      <c r="G195" s="140">
        <f t="shared" si="4"/>
        <v>3.8183105631456209E-2</v>
      </c>
    </row>
    <row r="196" spans="2:7">
      <c r="B196" s="136">
        <v>45790</v>
      </c>
      <c r="C196" s="137">
        <v>473.35</v>
      </c>
      <c r="D196" s="138">
        <v>24578.35</v>
      </c>
      <c r="F196" s="140">
        <f t="shared" si="5"/>
        <v>-4.1026719966336814E-3</v>
      </c>
      <c r="G196" s="140">
        <f t="shared" si="4"/>
        <v>-1.389585431319142E-2</v>
      </c>
    </row>
    <row r="197" spans="2:7">
      <c r="B197" s="136">
        <v>45791</v>
      </c>
      <c r="C197" s="137">
        <v>469.1</v>
      </c>
      <c r="D197" s="138">
        <v>24666.9</v>
      </c>
      <c r="F197" s="140">
        <f t="shared" si="5"/>
        <v>-8.9785570930601029E-3</v>
      </c>
      <c r="G197" s="140">
        <f t="shared" si="4"/>
        <v>3.6027642213575326E-3</v>
      </c>
    </row>
    <row r="198" spans="2:7">
      <c r="B198" s="136">
        <v>45792</v>
      </c>
      <c r="C198" s="137">
        <v>468.85</v>
      </c>
      <c r="D198" s="138">
        <v>25062.1</v>
      </c>
      <c r="F198" s="140">
        <f t="shared" si="5"/>
        <v>-5.3293540822852271E-4</v>
      </c>
      <c r="G198" s="140">
        <f t="shared" ref="G198:G254" si="6">(D198-D197)/D197</f>
        <v>1.6021470067174921E-2</v>
      </c>
    </row>
    <row r="199" spans="2:7">
      <c r="B199" s="136">
        <v>45793</v>
      </c>
      <c r="C199" s="137">
        <v>476.4</v>
      </c>
      <c r="D199" s="138">
        <v>25019.8</v>
      </c>
      <c r="F199" s="140">
        <f t="shared" si="5"/>
        <v>1.610323131065363E-2</v>
      </c>
      <c r="G199" s="140">
        <f t="shared" si="6"/>
        <v>-1.6878074862042396E-3</v>
      </c>
    </row>
    <row r="200" spans="2:7">
      <c r="B200" s="136">
        <v>45796</v>
      </c>
      <c r="C200" s="137">
        <v>483.7</v>
      </c>
      <c r="D200" s="138">
        <v>24945.45</v>
      </c>
      <c r="F200" s="140">
        <f t="shared" ref="F200:F254" si="7">(C200-C199)/C199</f>
        <v>1.5323257766582728E-2</v>
      </c>
      <c r="G200" s="140">
        <f t="shared" si="6"/>
        <v>-2.9716464560067845E-3</v>
      </c>
    </row>
    <row r="201" spans="2:7">
      <c r="B201" s="136">
        <v>45797</v>
      </c>
      <c r="C201" s="137">
        <v>475.8</v>
      </c>
      <c r="D201" s="138">
        <v>24683.9</v>
      </c>
      <c r="F201" s="140">
        <f t="shared" si="7"/>
        <v>-1.6332437461236256E-2</v>
      </c>
      <c r="G201" s="140">
        <f t="shared" si="6"/>
        <v>-1.0484878003804271E-2</v>
      </c>
    </row>
    <row r="202" spans="2:7">
      <c r="B202" s="136">
        <v>45798</v>
      </c>
      <c r="C202" s="137">
        <v>481.85</v>
      </c>
      <c r="D202" s="138">
        <v>24813.45</v>
      </c>
      <c r="F202" s="140">
        <f t="shared" si="7"/>
        <v>1.2715426649852903E-2</v>
      </c>
      <c r="G202" s="140">
        <f t="shared" si="6"/>
        <v>5.2483602672186835E-3</v>
      </c>
    </row>
    <row r="203" spans="2:7">
      <c r="B203" s="136">
        <v>45799</v>
      </c>
      <c r="C203" s="137">
        <v>477.1</v>
      </c>
      <c r="D203" s="138">
        <v>24609.7</v>
      </c>
      <c r="F203" s="140">
        <f t="shared" si="7"/>
        <v>-9.8578395766317321E-3</v>
      </c>
      <c r="G203" s="140">
        <f t="shared" si="6"/>
        <v>-8.2112725155107404E-3</v>
      </c>
    </row>
    <row r="204" spans="2:7">
      <c r="B204" s="136">
        <v>45800</v>
      </c>
      <c r="C204" s="137">
        <v>481.8</v>
      </c>
      <c r="D204" s="138">
        <v>24853.15</v>
      </c>
      <c r="F204" s="140">
        <f t="shared" si="7"/>
        <v>9.8511842381051942E-3</v>
      </c>
      <c r="G204" s="140">
        <f t="shared" si="6"/>
        <v>9.8924407855439413E-3</v>
      </c>
    </row>
    <row r="205" spans="2:7">
      <c r="B205" s="136">
        <v>45803</v>
      </c>
      <c r="C205" s="137">
        <v>481.1</v>
      </c>
      <c r="D205" s="138">
        <v>25001.15</v>
      </c>
      <c r="F205" s="140">
        <f t="shared" si="7"/>
        <v>-1.4528850145288266E-3</v>
      </c>
      <c r="G205" s="140">
        <f t="shared" si="6"/>
        <v>5.9549795498759711E-3</v>
      </c>
    </row>
    <row r="206" spans="2:7">
      <c r="B206" s="136">
        <v>45804</v>
      </c>
      <c r="C206" s="137">
        <v>484.55</v>
      </c>
      <c r="D206" s="138">
        <v>24826.2</v>
      </c>
      <c r="F206" s="140">
        <f t="shared" si="7"/>
        <v>7.1710663063811854E-3</v>
      </c>
      <c r="G206" s="140">
        <f t="shared" si="6"/>
        <v>-6.9976781068071155E-3</v>
      </c>
    </row>
    <row r="207" spans="2:7">
      <c r="B207" s="136">
        <v>45805</v>
      </c>
      <c r="C207" s="137">
        <v>484.7</v>
      </c>
      <c r="D207" s="138">
        <v>24752.45</v>
      </c>
      <c r="F207" s="140">
        <f t="shared" si="7"/>
        <v>3.0956557630786762E-4</v>
      </c>
      <c r="G207" s="140">
        <f t="shared" si="6"/>
        <v>-2.9706519725129095E-3</v>
      </c>
    </row>
    <row r="208" spans="2:7">
      <c r="B208" s="136">
        <v>45806</v>
      </c>
      <c r="C208" s="137">
        <v>482.1</v>
      </c>
      <c r="D208" s="138">
        <v>24833.599999999999</v>
      </c>
      <c r="F208" s="140">
        <f t="shared" si="7"/>
        <v>-5.3641427687228516E-3</v>
      </c>
      <c r="G208" s="140">
        <f t="shared" si="6"/>
        <v>3.2784633440325226E-3</v>
      </c>
    </row>
    <row r="209" spans="2:7">
      <c r="B209" s="136">
        <v>45807</v>
      </c>
      <c r="C209" s="137">
        <v>484.15</v>
      </c>
      <c r="D209" s="138">
        <v>24750.7</v>
      </c>
      <c r="F209" s="140">
        <f t="shared" si="7"/>
        <v>4.2522298278364536E-3</v>
      </c>
      <c r="G209" s="140">
        <f t="shared" si="6"/>
        <v>-3.3382191869079725E-3</v>
      </c>
    </row>
    <row r="210" spans="2:7">
      <c r="B210" s="136">
        <v>45810</v>
      </c>
      <c r="C210" s="137">
        <v>484.45</v>
      </c>
      <c r="D210" s="138">
        <v>24716.6</v>
      </c>
      <c r="F210" s="140">
        <f t="shared" si="7"/>
        <v>6.1964267272541856E-4</v>
      </c>
      <c r="G210" s="140">
        <f t="shared" si="6"/>
        <v>-1.3777388114276437E-3</v>
      </c>
    </row>
    <row r="211" spans="2:7">
      <c r="B211" s="136">
        <v>45811</v>
      </c>
      <c r="C211" s="137">
        <v>485.5</v>
      </c>
      <c r="D211" s="138">
        <v>24542.5</v>
      </c>
      <c r="F211" s="140">
        <f t="shared" si="7"/>
        <v>2.1674063370833137E-3</v>
      </c>
      <c r="G211" s="140">
        <f t="shared" si="6"/>
        <v>-7.0438490730925186E-3</v>
      </c>
    </row>
    <row r="212" spans="2:7">
      <c r="B212" s="136">
        <v>45812</v>
      </c>
      <c r="C212" s="137">
        <v>492.35</v>
      </c>
      <c r="D212" s="138">
        <v>24620.2</v>
      </c>
      <c r="F212" s="140">
        <f t="shared" si="7"/>
        <v>1.410916580844495E-2</v>
      </c>
      <c r="G212" s="140">
        <f t="shared" si="6"/>
        <v>3.165936640521574E-3</v>
      </c>
    </row>
    <row r="213" spans="2:7">
      <c r="B213" s="136">
        <v>45813</v>
      </c>
      <c r="C213" s="137">
        <v>488.25</v>
      </c>
      <c r="D213" s="138">
        <v>24750.9</v>
      </c>
      <c r="F213" s="140">
        <f t="shared" si="7"/>
        <v>-8.3274093632578917E-3</v>
      </c>
      <c r="G213" s="140">
        <f t="shared" si="6"/>
        <v>5.308648995540277E-3</v>
      </c>
    </row>
    <row r="214" spans="2:7">
      <c r="B214" s="136">
        <v>45814</v>
      </c>
      <c r="C214" s="137">
        <v>481.25</v>
      </c>
      <c r="D214" s="138">
        <v>25003.05</v>
      </c>
      <c r="F214" s="140">
        <f t="shared" si="7"/>
        <v>-1.4336917562724014E-2</v>
      </c>
      <c r="G214" s="140">
        <f t="shared" si="6"/>
        <v>1.0187508333030225E-2</v>
      </c>
    </row>
    <row r="215" spans="2:7">
      <c r="B215" s="136">
        <v>45817</v>
      </c>
      <c r="C215" s="137">
        <v>485.5</v>
      </c>
      <c r="D215" s="138">
        <v>25103.200000000001</v>
      </c>
      <c r="F215" s="140">
        <f t="shared" si="7"/>
        <v>8.831168831168832E-3</v>
      </c>
      <c r="G215" s="140">
        <f t="shared" si="6"/>
        <v>4.0055113276180887E-3</v>
      </c>
    </row>
    <row r="216" spans="2:7">
      <c r="B216" s="136">
        <v>45818</v>
      </c>
      <c r="C216" s="137">
        <v>489.4</v>
      </c>
      <c r="D216" s="138">
        <v>25104.25</v>
      </c>
      <c r="F216" s="140">
        <f t="shared" si="7"/>
        <v>8.0329557157569047E-3</v>
      </c>
      <c r="G216" s="140">
        <f t="shared" si="6"/>
        <v>4.1827336753850999E-5</v>
      </c>
    </row>
    <row r="217" spans="2:7">
      <c r="B217" s="136">
        <v>45819</v>
      </c>
      <c r="C217" s="137">
        <v>487.4</v>
      </c>
      <c r="D217" s="138">
        <v>25141.4</v>
      </c>
      <c r="F217" s="140">
        <f t="shared" si="7"/>
        <v>-4.086636697997548E-3</v>
      </c>
      <c r="G217" s="140">
        <f t="shared" si="6"/>
        <v>1.479829112600514E-3</v>
      </c>
    </row>
    <row r="218" spans="2:7">
      <c r="B218" s="136">
        <v>45820</v>
      </c>
      <c r="C218" s="137">
        <v>472.85</v>
      </c>
      <c r="D218" s="138">
        <v>24888.2</v>
      </c>
      <c r="F218" s="140">
        <f t="shared" si="7"/>
        <v>-2.9852277390233804E-2</v>
      </c>
      <c r="G218" s="140">
        <f t="shared" si="6"/>
        <v>-1.0071038207896168E-2</v>
      </c>
    </row>
    <row r="219" spans="2:7">
      <c r="B219" s="136">
        <v>45821</v>
      </c>
      <c r="C219" s="137">
        <v>466.65</v>
      </c>
      <c r="D219" s="138">
        <v>24718.6</v>
      </c>
      <c r="F219" s="140">
        <f t="shared" si="7"/>
        <v>-1.3111980543512838E-2</v>
      </c>
      <c r="G219" s="140">
        <f t="shared" si="6"/>
        <v>-6.8144743292002704E-3</v>
      </c>
    </row>
    <row r="220" spans="2:7">
      <c r="B220" s="136">
        <v>45824</v>
      </c>
      <c r="C220" s="137">
        <v>471.7</v>
      </c>
      <c r="D220" s="138">
        <v>24946.5</v>
      </c>
      <c r="F220" s="140">
        <f t="shared" si="7"/>
        <v>1.0821815064823768E-2</v>
      </c>
      <c r="G220" s="140">
        <f t="shared" si="6"/>
        <v>9.2197778191322102E-3</v>
      </c>
    </row>
    <row r="221" spans="2:7">
      <c r="B221" s="136">
        <v>45825</v>
      </c>
      <c r="C221" s="137">
        <v>472</v>
      </c>
      <c r="D221" s="138">
        <v>24853.4</v>
      </c>
      <c r="F221" s="140">
        <f t="shared" si="7"/>
        <v>6.359974560102001E-4</v>
      </c>
      <c r="G221" s="140">
        <f t="shared" si="6"/>
        <v>-3.7319864510050927E-3</v>
      </c>
    </row>
    <row r="222" spans="2:7">
      <c r="B222" s="136">
        <v>45826</v>
      </c>
      <c r="C222" s="137">
        <v>469.7</v>
      </c>
      <c r="D222" s="138">
        <v>24812.05</v>
      </c>
      <c r="F222" s="140">
        <f t="shared" si="7"/>
        <v>-4.8728813559322272E-3</v>
      </c>
      <c r="G222" s="140">
        <f t="shared" si="6"/>
        <v>-1.6637562667482992E-3</v>
      </c>
    </row>
    <row r="223" spans="2:7">
      <c r="B223" s="136">
        <v>45827</v>
      </c>
      <c r="C223" s="137">
        <v>465.15</v>
      </c>
      <c r="D223" s="138">
        <v>24793.25</v>
      </c>
      <c r="F223" s="140">
        <f t="shared" si="7"/>
        <v>-9.6870342771982355E-3</v>
      </c>
      <c r="G223" s="140">
        <f t="shared" si="6"/>
        <v>-7.5769636124380178E-4</v>
      </c>
    </row>
    <row r="224" spans="2:7">
      <c r="B224" s="136">
        <v>45828</v>
      </c>
      <c r="C224" s="137">
        <v>466.7</v>
      </c>
      <c r="D224" s="138">
        <v>25112.400000000001</v>
      </c>
      <c r="F224" s="140">
        <f t="shared" si="7"/>
        <v>3.3322584112652079E-3</v>
      </c>
      <c r="G224" s="140">
        <f t="shared" si="6"/>
        <v>1.2872455204541618E-2</v>
      </c>
    </row>
    <row r="225" spans="2:7">
      <c r="B225" s="136">
        <v>45831</v>
      </c>
      <c r="C225" s="137">
        <v>467.65</v>
      </c>
      <c r="D225" s="138">
        <v>24971.9</v>
      </c>
      <c r="F225" s="140">
        <f t="shared" si="7"/>
        <v>2.0355688879365517E-3</v>
      </c>
      <c r="G225" s="140">
        <f t="shared" si="6"/>
        <v>-5.5948455742979557E-3</v>
      </c>
    </row>
    <row r="226" spans="2:7">
      <c r="B226" s="136">
        <v>45832</v>
      </c>
      <c r="C226" s="137">
        <v>475.15</v>
      </c>
      <c r="D226" s="138">
        <v>25044.35</v>
      </c>
      <c r="F226" s="140">
        <f t="shared" si="7"/>
        <v>1.6037634983427779E-2</v>
      </c>
      <c r="G226" s="140">
        <f t="shared" si="6"/>
        <v>2.9012610173834224E-3</v>
      </c>
    </row>
    <row r="227" spans="2:7">
      <c r="B227" s="136">
        <v>45833</v>
      </c>
      <c r="C227" s="137">
        <v>480.1</v>
      </c>
      <c r="D227" s="138">
        <v>25244.75</v>
      </c>
      <c r="F227" s="140">
        <f t="shared" si="7"/>
        <v>1.0417762811743756E-2</v>
      </c>
      <c r="G227" s="140">
        <f t="shared" si="6"/>
        <v>8.0018047982878954E-3</v>
      </c>
    </row>
    <row r="228" spans="2:7">
      <c r="B228" s="136">
        <v>45834</v>
      </c>
      <c r="C228" s="137">
        <v>481.75</v>
      </c>
      <c r="D228" s="138">
        <v>25549</v>
      </c>
      <c r="F228" s="140">
        <f t="shared" si="7"/>
        <v>3.4367840033325916E-3</v>
      </c>
      <c r="G228" s="140">
        <f t="shared" si="6"/>
        <v>1.205201081412967E-2</v>
      </c>
    </row>
    <row r="229" spans="2:7">
      <c r="B229" s="136">
        <v>45835</v>
      </c>
      <c r="C229" s="137">
        <v>485.9</v>
      </c>
      <c r="D229" s="138">
        <v>25637.8</v>
      </c>
      <c r="F229" s="140">
        <f t="shared" si="7"/>
        <v>8.6144265697975664E-3</v>
      </c>
      <c r="G229" s="140">
        <f t="shared" si="6"/>
        <v>3.4756741946846948E-3</v>
      </c>
    </row>
    <row r="230" spans="2:7">
      <c r="B230" s="136">
        <v>45838</v>
      </c>
      <c r="C230" s="137">
        <v>485.1</v>
      </c>
      <c r="D230" s="138">
        <v>25517.05</v>
      </c>
      <c r="F230" s="140">
        <f t="shared" si="7"/>
        <v>-1.6464293064415612E-3</v>
      </c>
      <c r="G230" s="140">
        <f t="shared" si="6"/>
        <v>-4.7098424981862723E-3</v>
      </c>
    </row>
    <row r="231" spans="2:7">
      <c r="B231" s="136">
        <v>45839</v>
      </c>
      <c r="C231" s="137">
        <v>482.4</v>
      </c>
      <c r="D231" s="138">
        <v>25541.8</v>
      </c>
      <c r="F231" s="140">
        <f t="shared" si="7"/>
        <v>-5.5658627087199451E-3</v>
      </c>
      <c r="G231" s="140">
        <f t="shared" si="6"/>
        <v>9.6993970698023484E-4</v>
      </c>
    </row>
    <row r="232" spans="2:7">
      <c r="B232" s="136">
        <v>45840</v>
      </c>
      <c r="C232" s="137">
        <v>487.45</v>
      </c>
      <c r="D232" s="138">
        <v>25453.4</v>
      </c>
      <c r="F232" s="140">
        <f t="shared" si="7"/>
        <v>1.0468490878938664E-2</v>
      </c>
      <c r="G232" s="140">
        <f t="shared" si="6"/>
        <v>-3.4609933520737702E-3</v>
      </c>
    </row>
    <row r="233" spans="2:7">
      <c r="B233" s="136">
        <v>45841</v>
      </c>
      <c r="C233" s="137">
        <v>491.45</v>
      </c>
      <c r="D233" s="138">
        <v>25405.3</v>
      </c>
      <c r="F233" s="140">
        <f t="shared" si="7"/>
        <v>8.2059698430608265E-3</v>
      </c>
      <c r="G233" s="140">
        <f t="shared" si="6"/>
        <v>-1.8897278948982132E-3</v>
      </c>
    </row>
    <row r="234" spans="2:7">
      <c r="B234" s="136">
        <v>45842</v>
      </c>
      <c r="C234" s="137">
        <v>495.25</v>
      </c>
      <c r="D234" s="138">
        <v>25461</v>
      </c>
      <c r="F234" s="140">
        <f t="shared" si="7"/>
        <v>7.7322209787364154E-3</v>
      </c>
      <c r="G234" s="140">
        <f t="shared" si="6"/>
        <v>2.1924559048702723E-3</v>
      </c>
    </row>
    <row r="235" spans="2:7">
      <c r="B235" s="136">
        <v>45845</v>
      </c>
      <c r="C235" s="137">
        <v>512.75</v>
      </c>
      <c r="D235" s="138">
        <v>25461.3</v>
      </c>
      <c r="F235" s="140">
        <f t="shared" si="7"/>
        <v>3.5335689045936397E-2</v>
      </c>
      <c r="G235" s="140">
        <f t="shared" si="6"/>
        <v>1.1782726522888827E-5</v>
      </c>
    </row>
    <row r="236" spans="2:7">
      <c r="B236" s="136">
        <v>45846</v>
      </c>
      <c r="C236" s="137">
        <v>512.9</v>
      </c>
      <c r="D236" s="138">
        <v>25522.5</v>
      </c>
      <c r="F236" s="140">
        <f t="shared" si="7"/>
        <v>2.9254022428079428E-4</v>
      </c>
      <c r="G236" s="140">
        <f t="shared" si="6"/>
        <v>2.4036478891494438E-3</v>
      </c>
    </row>
    <row r="237" spans="2:7">
      <c r="B237" s="136">
        <v>45847</v>
      </c>
      <c r="C237" s="137">
        <v>522.15</v>
      </c>
      <c r="D237" s="138">
        <v>25476.1</v>
      </c>
      <c r="F237" s="140">
        <f t="shared" si="7"/>
        <v>1.8034704620783781E-2</v>
      </c>
      <c r="G237" s="140">
        <f t="shared" si="6"/>
        <v>-1.8180037222059538E-3</v>
      </c>
    </row>
    <row r="238" spans="2:7">
      <c r="B238" s="136">
        <v>45848</v>
      </c>
      <c r="C238" s="137">
        <v>522.35</v>
      </c>
      <c r="D238" s="138">
        <v>25355.25</v>
      </c>
      <c r="F238" s="140">
        <f t="shared" si="7"/>
        <v>3.8303169587292058E-4</v>
      </c>
      <c r="G238" s="140">
        <f t="shared" si="6"/>
        <v>-4.7436617064620787E-3</v>
      </c>
    </row>
    <row r="239" spans="2:7">
      <c r="B239" s="136">
        <v>45849</v>
      </c>
      <c r="C239" s="137">
        <v>531.45000000000005</v>
      </c>
      <c r="D239" s="138">
        <v>25149.85</v>
      </c>
      <c r="F239" s="140">
        <f t="shared" si="7"/>
        <v>1.7421269263903555E-2</v>
      </c>
      <c r="G239" s="140">
        <f t="shared" si="6"/>
        <v>-8.1008864041964262E-3</v>
      </c>
    </row>
    <row r="240" spans="2:7">
      <c r="B240" s="136">
        <v>45852</v>
      </c>
      <c r="C240" s="137">
        <v>526.1</v>
      </c>
      <c r="D240" s="138">
        <v>25082.3</v>
      </c>
      <c r="F240" s="140">
        <f t="shared" si="7"/>
        <v>-1.0066798381785723E-2</v>
      </c>
      <c r="G240" s="140">
        <f t="shared" si="6"/>
        <v>-2.6859007111374135E-3</v>
      </c>
    </row>
    <row r="241" spans="2:7">
      <c r="B241" s="136">
        <v>45853</v>
      </c>
      <c r="C241" s="137">
        <v>527</v>
      </c>
      <c r="D241" s="138">
        <v>25195.8</v>
      </c>
      <c r="F241" s="140">
        <f t="shared" si="7"/>
        <v>1.7107013875688601E-3</v>
      </c>
      <c r="G241" s="140">
        <f t="shared" si="6"/>
        <v>4.5251033597397371E-3</v>
      </c>
    </row>
    <row r="242" spans="2:7">
      <c r="B242" s="136">
        <v>45854</v>
      </c>
      <c r="C242" s="137">
        <v>527.9</v>
      </c>
      <c r="D242" s="138">
        <v>25212.05</v>
      </c>
      <c r="F242" s="140">
        <f t="shared" si="7"/>
        <v>1.7077798861479645E-3</v>
      </c>
      <c r="G242" s="140">
        <f t="shared" si="6"/>
        <v>6.4494876130148681E-4</v>
      </c>
    </row>
    <row r="243" spans="2:7">
      <c r="B243" s="136">
        <v>45855</v>
      </c>
      <c r="C243" s="137">
        <v>528.35</v>
      </c>
      <c r="D243" s="138">
        <v>25111.45</v>
      </c>
      <c r="F243" s="140">
        <f t="shared" si="7"/>
        <v>8.524341731389382E-4</v>
      </c>
      <c r="G243" s="140">
        <f t="shared" si="6"/>
        <v>-3.9901555010401196E-3</v>
      </c>
    </row>
    <row r="244" spans="2:7">
      <c r="B244" s="136">
        <v>45856</v>
      </c>
      <c r="C244" s="137">
        <v>522.70000000000005</v>
      </c>
      <c r="D244" s="138">
        <v>24968.400000000001</v>
      </c>
      <c r="F244" s="140">
        <f t="shared" si="7"/>
        <v>-1.0693668969433098E-2</v>
      </c>
      <c r="G244" s="140">
        <f t="shared" si="6"/>
        <v>-5.6966045369741397E-3</v>
      </c>
    </row>
    <row r="245" spans="2:7">
      <c r="B245" s="136">
        <v>45859</v>
      </c>
      <c r="C245" s="137">
        <v>514.6</v>
      </c>
      <c r="D245" s="138">
        <v>25090.7</v>
      </c>
      <c r="F245" s="140">
        <f t="shared" si="7"/>
        <v>-1.5496460684905341E-2</v>
      </c>
      <c r="G245" s="140">
        <f t="shared" si="6"/>
        <v>4.8981913138206401E-3</v>
      </c>
    </row>
    <row r="246" spans="2:7">
      <c r="B246" s="136">
        <v>45860</v>
      </c>
      <c r="C246" s="137">
        <v>515.25</v>
      </c>
      <c r="D246" s="138">
        <v>25060.9</v>
      </c>
      <c r="F246" s="140">
        <f t="shared" si="7"/>
        <v>1.2631169840652491E-3</v>
      </c>
      <c r="G246" s="140">
        <f t="shared" si="6"/>
        <v>-1.1876910568457346E-3</v>
      </c>
    </row>
    <row r="247" spans="2:7">
      <c r="B247" s="136">
        <v>45861</v>
      </c>
      <c r="C247" s="137">
        <v>513.85</v>
      </c>
      <c r="D247" s="138">
        <v>25219.9</v>
      </c>
      <c r="F247" s="140">
        <f t="shared" si="7"/>
        <v>-2.7171276079572581E-3</v>
      </c>
      <c r="G247" s="140">
        <f t="shared" si="6"/>
        <v>6.3445446891372608E-3</v>
      </c>
    </row>
    <row r="248" spans="2:7">
      <c r="B248" s="136">
        <v>45862</v>
      </c>
      <c r="C248" s="137">
        <v>512.65</v>
      </c>
      <c r="D248" s="138">
        <v>25062.1</v>
      </c>
      <c r="F248" s="140">
        <f t="shared" si="7"/>
        <v>-2.3353118614382511E-3</v>
      </c>
      <c r="G248" s="140">
        <f t="shared" si="6"/>
        <v>-6.2569637468825375E-3</v>
      </c>
    </row>
    <row r="249" spans="2:7">
      <c r="B249" s="136">
        <v>45863</v>
      </c>
      <c r="C249" s="137">
        <v>511.25</v>
      </c>
      <c r="D249" s="138">
        <v>24837</v>
      </c>
      <c r="F249" s="140">
        <f t="shared" si="7"/>
        <v>-2.7309080269189061E-3</v>
      </c>
      <c r="G249" s="140">
        <f t="shared" si="6"/>
        <v>-8.9816894833233667E-3</v>
      </c>
    </row>
    <row r="250" spans="2:7">
      <c r="B250" s="136">
        <v>45866</v>
      </c>
      <c r="C250" s="137">
        <v>522.04999999999995</v>
      </c>
      <c r="D250" s="138">
        <v>24680.9</v>
      </c>
      <c r="F250" s="140">
        <f t="shared" si="7"/>
        <v>2.1124694376528027E-2</v>
      </c>
      <c r="G250" s="140">
        <f t="shared" si="6"/>
        <v>-6.2849780569311326E-3</v>
      </c>
    </row>
    <row r="251" spans="2:7">
      <c r="B251" s="136">
        <v>45867</v>
      </c>
      <c r="C251" s="137">
        <v>517.85</v>
      </c>
      <c r="D251" s="138">
        <v>24821.1</v>
      </c>
      <c r="F251" s="140">
        <f t="shared" si="7"/>
        <v>-8.0452063978544812E-3</v>
      </c>
      <c r="G251" s="140">
        <f t="shared" si="6"/>
        <v>5.6805059783069933E-3</v>
      </c>
    </row>
    <row r="252" spans="2:7">
      <c r="B252" s="136">
        <v>45868</v>
      </c>
      <c r="C252" s="137">
        <v>521.95000000000005</v>
      </c>
      <c r="D252" s="138">
        <v>24855.05</v>
      </c>
      <c r="F252" s="140">
        <f t="shared" si="7"/>
        <v>7.917350584146032E-3</v>
      </c>
      <c r="G252" s="140">
        <f t="shared" si="6"/>
        <v>1.3677878901418845E-3</v>
      </c>
    </row>
    <row r="253" spans="2:7">
      <c r="B253" s="136">
        <v>45869</v>
      </c>
      <c r="C253" s="137">
        <v>529.1</v>
      </c>
      <c r="D253" s="138">
        <v>24768.35</v>
      </c>
      <c r="F253" s="140">
        <f t="shared" si="7"/>
        <v>1.3698630136986257E-2</v>
      </c>
      <c r="G253" s="140">
        <f t="shared" si="6"/>
        <v>-3.4882247269669838E-3</v>
      </c>
    </row>
    <row r="254" spans="2:7">
      <c r="B254" s="136">
        <v>45870</v>
      </c>
      <c r="C254" s="137">
        <v>533.85</v>
      </c>
      <c r="D254" s="138">
        <v>24565.35</v>
      </c>
      <c r="F254" s="140">
        <f t="shared" si="7"/>
        <v>8.9775089775089769E-3</v>
      </c>
      <c r="G254" s="140">
        <f t="shared" si="6"/>
        <v>-8.1959436135229033E-3</v>
      </c>
    </row>
  </sheetData>
  <sortState xmlns:xlrd2="http://schemas.microsoft.com/office/spreadsheetml/2017/richdata2" ref="C4:D254">
    <sortCondition ref="C3:C254"/>
  </sortState>
  <mergeCells count="2">
    <mergeCell ref="B1:D2"/>
    <mergeCell ref="J3:L4"/>
  </mergeCells>
  <pageMargins left="0.7" right="0.7" top="0.75" bottom="0.75" header="0.3" footer="0.3"/>
  <pageSetup paperSize="9" orientation="portrait" horizontalDpi="0" verticalDpi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E4DB7-24D8-4E42-B90E-D6F1132D874F}">
  <sheetPr codeName="Sheet10">
    <tabColor rgb="FFFFC000"/>
  </sheetPr>
  <dimension ref="B1:O20"/>
  <sheetViews>
    <sheetView zoomScale="137" workbookViewId="0">
      <selection activeCell="O21" sqref="O21"/>
    </sheetView>
  </sheetViews>
  <sheetFormatPr baseColWidth="10" defaultRowHeight="27"/>
  <cols>
    <col min="1" max="1" width="2.1640625" style="49" customWidth="1"/>
    <col min="2" max="4" width="10.83203125" style="49"/>
    <col min="5" max="5" width="14.33203125" style="49" customWidth="1"/>
    <col min="6" max="6" width="20" style="49" bestFit="1" customWidth="1"/>
    <col min="7" max="16384" width="10.83203125" style="49"/>
  </cols>
  <sheetData>
    <row r="1" spans="2:7" ht="38" thickBot="1">
      <c r="B1" s="360" t="s">
        <v>427</v>
      </c>
    </row>
    <row r="2" spans="2:7" ht="28" thickBot="1">
      <c r="B2" s="339" t="s">
        <v>1</v>
      </c>
      <c r="C2" s="167"/>
      <c r="D2" s="167"/>
      <c r="E2" s="367"/>
      <c r="F2" s="366" t="s">
        <v>459</v>
      </c>
    </row>
    <row r="3" spans="2:7">
      <c r="B3" s="144" t="s">
        <v>371</v>
      </c>
      <c r="E3" s="120"/>
      <c r="F3" s="337">
        <f>Calculatios!$F$56</f>
        <v>7.1999999999999995E-2</v>
      </c>
    </row>
    <row r="4" spans="2:7">
      <c r="B4" s="144" t="s">
        <v>445</v>
      </c>
      <c r="E4" s="120"/>
      <c r="F4" s="337">
        <v>6.5000000000000002E-2</v>
      </c>
    </row>
    <row r="5" spans="2:7">
      <c r="B5" s="144" t="s">
        <v>382</v>
      </c>
      <c r="E5" s="120"/>
      <c r="F5" s="305">
        <f>'Beta Calculation'!N9</f>
        <v>0.5785541773501397</v>
      </c>
    </row>
    <row r="6" spans="2:7">
      <c r="B6" s="144" t="s">
        <v>428</v>
      </c>
      <c r="E6" s="120"/>
      <c r="F6" s="337">
        <f>Calculatios!F60</f>
        <v>0.11712722583331089</v>
      </c>
    </row>
    <row r="7" spans="2:7">
      <c r="B7" s="144" t="s">
        <v>429</v>
      </c>
      <c r="E7" s="120"/>
      <c r="F7" s="305">
        <f>'Calculations DVDND'!E7</f>
        <v>5.5000846357840096</v>
      </c>
    </row>
    <row r="8" spans="2:7">
      <c r="B8" s="144" t="s">
        <v>430</v>
      </c>
      <c r="E8" s="120"/>
      <c r="F8" s="334">
        <f>'Calculations DVDND'!$E$13</f>
        <v>0.55166345394022154</v>
      </c>
    </row>
    <row r="9" spans="2:7">
      <c r="B9" s="144" t="s">
        <v>431</v>
      </c>
      <c r="E9" s="120"/>
      <c r="F9" s="337">
        <f>'Calculations DVDND'!$E$19</f>
        <v>7.33561614640105E-2</v>
      </c>
    </row>
    <row r="10" spans="2:7" ht="28" thickBot="1">
      <c r="B10" s="146" t="s">
        <v>432</v>
      </c>
      <c r="C10" s="147"/>
      <c r="D10" s="147"/>
      <c r="E10" s="119"/>
      <c r="F10" s="113">
        <v>516.5</v>
      </c>
    </row>
    <row r="16" spans="2:7">
      <c r="G16" s="335"/>
    </row>
    <row r="19" spans="6:15">
      <c r="F19" s="132"/>
    </row>
    <row r="20" spans="6:15">
      <c r="O20" s="49">
        <v>20</v>
      </c>
    </row>
  </sheetData>
  <pageMargins left="0.7" right="0.7" top="0.75" bottom="0.75" header="0.3" footer="0.3"/>
  <pageSetup paperSize="9"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B6C8A-0C90-504A-B4EE-9A3192107C71}">
  <sheetPr codeName="Sheet11">
    <tabColor rgb="FFFFC000"/>
  </sheetPr>
  <dimension ref="B2:F25"/>
  <sheetViews>
    <sheetView topLeftCell="A15" zoomScale="125" workbookViewId="0">
      <selection activeCell="E25" sqref="E25"/>
    </sheetView>
  </sheetViews>
  <sheetFormatPr baseColWidth="10" defaultRowHeight="27"/>
  <cols>
    <col min="1" max="1" width="5.6640625" style="49" customWidth="1"/>
    <col min="2" max="2" width="8.1640625" style="49" bestFit="1" customWidth="1"/>
    <col min="3" max="3" width="12.33203125" style="49" bestFit="1" customWidth="1"/>
    <col min="4" max="4" width="14.1640625" style="49" bestFit="1" customWidth="1"/>
    <col min="5" max="5" width="21.33203125" style="49" bestFit="1" customWidth="1"/>
    <col min="6" max="6" width="37.83203125" style="49" customWidth="1"/>
    <col min="7" max="16384" width="10.83203125" style="49"/>
  </cols>
  <sheetData>
    <row r="2" spans="2:6" ht="37">
      <c r="B2" s="360" t="s">
        <v>446</v>
      </c>
    </row>
    <row r="3" spans="2:6" ht="28" thickBot="1"/>
    <row r="4" spans="2:6" ht="28" thickBot="1">
      <c r="B4" s="354" t="s">
        <v>447</v>
      </c>
      <c r="C4" s="355" t="s">
        <v>448</v>
      </c>
      <c r="D4" s="355" t="s">
        <v>449</v>
      </c>
      <c r="E4" s="355" t="s">
        <v>450</v>
      </c>
      <c r="F4" s="354" t="s">
        <v>451</v>
      </c>
    </row>
    <row r="5" spans="2:6">
      <c r="B5" s="341">
        <v>2025</v>
      </c>
      <c r="C5" s="342">
        <v>0</v>
      </c>
      <c r="D5" s="343">
        <f>INPUTS!$F$7</f>
        <v>5.5000846357840096</v>
      </c>
      <c r="E5" s="162">
        <f>1/(1+INPUTS!$F$6)^C5</f>
        <v>1</v>
      </c>
      <c r="F5" s="341"/>
    </row>
    <row r="6" spans="2:6">
      <c r="B6" s="344">
        <v>2026</v>
      </c>
      <c r="C6" s="345">
        <v>1</v>
      </c>
      <c r="D6" s="346">
        <f>D5+(D5*INPUTS!$F$9)</f>
        <v>5.903549732392305</v>
      </c>
      <c r="E6" s="117">
        <f>1/(1+INPUTS!$F$6)^C6</f>
        <v>0.89515319014274231</v>
      </c>
      <c r="F6" s="356">
        <f>D6*E6</f>
        <v>5.2845813761173046</v>
      </c>
    </row>
    <row r="7" spans="2:6">
      <c r="B7" s="344">
        <v>2027</v>
      </c>
      <c r="C7" s="345">
        <v>2</v>
      </c>
      <c r="D7" s="346">
        <f>D6+(D6*INPUTS!$F$9)</f>
        <v>6.3366114797724906</v>
      </c>
      <c r="E7" s="117">
        <f>1/(1+INPUTS!$F$6)^C7</f>
        <v>0.8012992338227285</v>
      </c>
      <c r="F7" s="357">
        <f t="shared" ref="F7:F15" si="0">D7*E7</f>
        <v>5.077521923774003</v>
      </c>
    </row>
    <row r="8" spans="2:6">
      <c r="B8" s="344">
        <v>2028</v>
      </c>
      <c r="C8" s="345">
        <v>3</v>
      </c>
      <c r="D8" s="346">
        <f>D7+(D7*INPUTS!$F$9)</f>
        <v>6.8014409746173836</v>
      </c>
      <c r="E8" s="117">
        <f>1/(1+INPUTS!$F$6)^C8</f>
        <v>0.7172855654153506</v>
      </c>
      <c r="F8" s="357">
        <f t="shared" si="0"/>
        <v>4.878575435117563</v>
      </c>
    </row>
    <row r="9" spans="2:6">
      <c r="B9" s="344">
        <v>2029</v>
      </c>
      <c r="C9" s="345">
        <v>4</v>
      </c>
      <c r="D9" s="346">
        <f>D8+(D8*INPUTS!$F$9)</f>
        <v>7.3003685769393538</v>
      </c>
      <c r="E9" s="117">
        <f>1/(1+INPUTS!$F$6)^C9</f>
        <v>0.64208046212489167</v>
      </c>
      <c r="F9" s="357">
        <f t="shared" si="0"/>
        <v>4.6874240295632577</v>
      </c>
    </row>
    <row r="10" spans="2:6">
      <c r="B10" s="344">
        <v>2030</v>
      </c>
      <c r="C10" s="345">
        <v>5</v>
      </c>
      <c r="D10" s="346">
        <f>D9+(D9*INPUTS!$F$9)</f>
        <v>7.8358955930161054</v>
      </c>
      <c r="E10" s="117">
        <f>1/(1+INPUTS!$F$6)^C10</f>
        <v>0.57476037399942304</v>
      </c>
      <c r="F10" s="357">
        <f t="shared" si="0"/>
        <v>4.5037622816623673</v>
      </c>
    </row>
    <row r="11" spans="2:6">
      <c r="B11" s="344">
        <v>2031</v>
      </c>
      <c r="C11" s="345">
        <v>6</v>
      </c>
      <c r="D11" s="346">
        <f>D10+(D10*INPUTS!$F$9)</f>
        <v>8.4107068153525226</v>
      </c>
      <c r="E11" s="117">
        <f>1/(1+INPUTS!$F$6)^C11</f>
        <v>0.51449858235321921</v>
      </c>
      <c r="F11" s="357">
        <f t="shared" si="0"/>
        <v>4.3272967330874321</v>
      </c>
    </row>
    <row r="12" spans="2:6">
      <c r="B12" s="344">
        <v>2032</v>
      </c>
      <c r="C12" s="345">
        <v>7</v>
      </c>
      <c r="D12" s="346">
        <f>D11+(D11*INPUTS!$F$9)</f>
        <v>9.0276839825259749</v>
      </c>
      <c r="E12" s="117">
        <f>1/(1+INPUTS!$F$6)^C12</f>
        <v>0.4605550473174026</v>
      </c>
      <c r="F12" s="357">
        <f t="shared" si="0"/>
        <v>4.1577454237388078</v>
      </c>
    </row>
    <row r="13" spans="2:6">
      <c r="B13" s="344">
        <v>2033</v>
      </c>
      <c r="C13" s="345">
        <v>8</v>
      </c>
      <c r="D13" s="346">
        <f>D12+(D12*INPUTS!$F$9)</f>
        <v>9.6899202263942108</v>
      </c>
      <c r="E13" s="117">
        <f>1/(1+INPUTS!$F$6)^C13</f>
        <v>0.41226731984251447</v>
      </c>
      <c r="F13" s="357">
        <f t="shared" si="0"/>
        <v>3.9948374412233125</v>
      </c>
    </row>
    <row r="14" spans="2:6">
      <c r="B14" s="344">
        <v>2034</v>
      </c>
      <c r="C14" s="345">
        <v>9</v>
      </c>
      <c r="D14" s="346">
        <f>D13+(D13*INPUTS!$F$9)</f>
        <v>10.400735579094965</v>
      </c>
      <c r="E14" s="117">
        <f>1/(1+INPUTS!$F$6)^C14</f>
        <v>0.36904240654862513</v>
      </c>
      <c r="F14" s="357">
        <f t="shared" si="0"/>
        <v>3.8383124879851143</v>
      </c>
    </row>
    <row r="15" spans="2:6" ht="28" thickBot="1">
      <c r="B15" s="347">
        <v>2035</v>
      </c>
      <c r="C15" s="348">
        <v>10</v>
      </c>
      <c r="D15" s="349">
        <f>D14+(D14*INPUTS!$F$9)</f>
        <v>11.163693617579534</v>
      </c>
      <c r="E15" s="207">
        <f>1/(1+INPUTS!$F$6)^C15</f>
        <v>0.33034948751995663</v>
      </c>
      <c r="F15" s="358">
        <f t="shared" si="0"/>
        <v>3.6879204653972097</v>
      </c>
    </row>
    <row r="16" spans="2:6">
      <c r="B16" s="49">
        <v>2036</v>
      </c>
      <c r="C16" s="111">
        <v>11</v>
      </c>
      <c r="D16" s="335">
        <f>D15+(D15*INPUTS!$F$9)</f>
        <v>11.982619329125443</v>
      </c>
    </row>
    <row r="17" spans="2:5" ht="28" thickBot="1"/>
    <row r="18" spans="2:5" ht="28" thickBot="1">
      <c r="B18" s="351" t="s">
        <v>452</v>
      </c>
      <c r="C18" s="352"/>
      <c r="D18" s="352"/>
      <c r="E18" s="353"/>
    </row>
    <row r="19" spans="2:5">
      <c r="B19" s="144" t="s">
        <v>453</v>
      </c>
      <c r="E19" s="336">
        <f>D16</f>
        <v>11.982619329125443</v>
      </c>
    </row>
    <row r="20" spans="2:5">
      <c r="B20" s="144" t="s">
        <v>364</v>
      </c>
      <c r="E20" s="337">
        <f>INPUTS!$F$6</f>
        <v>0.11712722583331089</v>
      </c>
    </row>
    <row r="21" spans="2:5" ht="28" thickBot="1">
      <c r="B21" s="144" t="s">
        <v>454</v>
      </c>
      <c r="E21" s="337">
        <f>INPUTS!$F$9</f>
        <v>7.33561614640105E-2</v>
      </c>
    </row>
    <row r="22" spans="2:5" ht="28" thickBot="1">
      <c r="B22" s="144"/>
      <c r="D22" s="338" t="s">
        <v>455</v>
      </c>
      <c r="E22" s="359">
        <f>E19/(E20-E21)</f>
        <v>273.75663584570412</v>
      </c>
    </row>
    <row r="23" spans="2:5" ht="28" thickBot="1">
      <c r="B23" s="146"/>
      <c r="C23" s="147"/>
      <c r="D23" s="339" t="s">
        <v>456</v>
      </c>
      <c r="E23" s="340">
        <f>E22/(1+INPUTS!F6)^10</f>
        <v>90.435364356815754</v>
      </c>
    </row>
    <row r="24" spans="2:5" ht="28" thickBot="1"/>
    <row r="25" spans="2:5" ht="28" thickBot="1">
      <c r="B25" s="339" t="s">
        <v>457</v>
      </c>
      <c r="C25" s="167"/>
      <c r="D25" s="167"/>
      <c r="E25" s="340">
        <f>SUM(F6:F15)+E23</f>
        <v>134.87334195448213</v>
      </c>
    </row>
  </sheetData>
  <phoneticPr fontId="17" type="noConversion"/>
  <pageMargins left="0.7" right="0.7" top="0.75" bottom="0.75" header="0.3" footer="0.3"/>
  <pageSetup paperSize="9" orientation="portrait" horizontalDpi="0" verticalDpi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46E5C-A611-8448-B30A-D2C80A1661CE}">
  <sheetPr codeName="Sheet12">
    <tabColor rgb="FFFFC000"/>
  </sheetPr>
  <dimension ref="B1:O19"/>
  <sheetViews>
    <sheetView workbookViewId="0">
      <selection activeCell="O20" sqref="O20"/>
    </sheetView>
  </sheetViews>
  <sheetFormatPr baseColWidth="10" defaultRowHeight="27"/>
  <cols>
    <col min="1" max="1" width="2.1640625" style="49" customWidth="1"/>
    <col min="2" max="4" width="10.83203125" style="49"/>
    <col min="5" max="5" width="13.1640625" style="49" bestFit="1" customWidth="1"/>
    <col min="6" max="9" width="10.83203125" style="49"/>
    <col min="10" max="10" width="13.1640625" style="49" bestFit="1" customWidth="1"/>
    <col min="11" max="14" width="10.83203125" style="49"/>
    <col min="15" max="15" width="12.1640625" style="49" bestFit="1" customWidth="1"/>
    <col min="16" max="16384" width="10.83203125" style="49"/>
  </cols>
  <sheetData>
    <row r="1" spans="2:15" ht="37">
      <c r="B1" s="360" t="s">
        <v>458</v>
      </c>
    </row>
    <row r="2" spans="2:15" ht="28" thickBot="1"/>
    <row r="3" spans="2:15" ht="28" thickBot="1">
      <c r="B3" s="351" t="s">
        <v>433</v>
      </c>
      <c r="C3" s="352"/>
      <c r="D3" s="352"/>
      <c r="E3" s="361" t="s">
        <v>170</v>
      </c>
    </row>
    <row r="4" spans="2:15">
      <c r="B4" s="144" t="s">
        <v>434</v>
      </c>
      <c r="E4" s="330">
        <v>974.78</v>
      </c>
    </row>
    <row r="5" spans="2:15">
      <c r="B5" s="144" t="s">
        <v>435</v>
      </c>
      <c r="E5" s="330">
        <v>177.23</v>
      </c>
    </row>
    <row r="6" spans="2:15" ht="28" thickBot="1">
      <c r="B6" s="144"/>
      <c r="E6" s="145"/>
    </row>
    <row r="7" spans="2:15" ht="28" thickBot="1">
      <c r="B7" s="146"/>
      <c r="C7" s="339" t="s">
        <v>436</v>
      </c>
      <c r="D7" s="363"/>
      <c r="E7" s="364">
        <f>E4/E5</f>
        <v>5.5000846357840096</v>
      </c>
    </row>
    <row r="8" spans="2:15" ht="28" thickBot="1"/>
    <row r="9" spans="2:15" ht="28" thickBot="1">
      <c r="B9" s="351" t="s">
        <v>430</v>
      </c>
      <c r="C9" s="352"/>
      <c r="D9" s="352"/>
      <c r="E9" s="361" t="s">
        <v>170</v>
      </c>
    </row>
    <row r="10" spans="2:15">
      <c r="B10" s="144" t="s">
        <v>437</v>
      </c>
      <c r="E10" s="331">
        <f>Sheet6!$B$40</f>
        <v>9.9700000000000006</v>
      </c>
    </row>
    <row r="11" spans="2:15">
      <c r="B11" s="144" t="s">
        <v>438</v>
      </c>
      <c r="E11" s="331">
        <f>E7</f>
        <v>5.5000846357840096</v>
      </c>
    </row>
    <row r="12" spans="2:15" ht="28" thickBot="1">
      <c r="B12" s="144"/>
      <c r="E12" s="145"/>
    </row>
    <row r="13" spans="2:15" ht="28" thickBot="1">
      <c r="B13" s="146"/>
      <c r="C13" s="339" t="s">
        <v>439</v>
      </c>
      <c r="D13" s="363"/>
      <c r="E13" s="506">
        <f>E11/E10</f>
        <v>0.55166345394022154</v>
      </c>
    </row>
    <row r="14" spans="2:15" ht="28" thickBot="1"/>
    <row r="15" spans="2:15" ht="28" thickBot="1">
      <c r="B15" s="351" t="s">
        <v>442</v>
      </c>
      <c r="C15" s="352"/>
      <c r="D15" s="352"/>
      <c r="E15" s="361" t="s">
        <v>170</v>
      </c>
    </row>
    <row r="16" spans="2:15" ht="28" thickBot="1">
      <c r="B16" s="144" t="s">
        <v>441</v>
      </c>
      <c r="E16" s="334">
        <f>J19</f>
        <v>0.16361851851851852</v>
      </c>
      <c r="G16" s="351" t="s">
        <v>112</v>
      </c>
      <c r="H16" s="362"/>
      <c r="I16" s="362"/>
      <c r="J16" s="361" t="s">
        <v>170</v>
      </c>
      <c r="L16" s="351" t="s">
        <v>112</v>
      </c>
      <c r="M16" s="362"/>
      <c r="N16" s="362"/>
      <c r="O16" s="361" t="s">
        <v>170</v>
      </c>
    </row>
    <row r="17" spans="2:15">
      <c r="B17" s="144" t="s">
        <v>440</v>
      </c>
      <c r="E17" s="334">
        <f>O19</f>
        <v>0.44833654605977846</v>
      </c>
      <c r="G17" s="160" t="s">
        <v>443</v>
      </c>
      <c r="H17" s="143"/>
      <c r="I17" s="143"/>
      <c r="J17" s="333">
        <v>1767.08</v>
      </c>
      <c r="L17" s="160" t="s">
        <v>430</v>
      </c>
      <c r="M17" s="143"/>
      <c r="N17" s="143"/>
      <c r="O17" s="332">
        <f>E13</f>
        <v>0.55166345394022154</v>
      </c>
    </row>
    <row r="18" spans="2:15" ht="28" thickBot="1">
      <c r="B18" s="144"/>
      <c r="E18" s="145"/>
      <c r="G18" s="144" t="s">
        <v>30</v>
      </c>
      <c r="J18" s="145">
        <f>10623+177</f>
        <v>10800</v>
      </c>
      <c r="L18" s="144"/>
      <c r="O18" s="113"/>
    </row>
    <row r="19" spans="2:15" ht="28" thickBot="1">
      <c r="B19" s="146"/>
      <c r="C19" s="339" t="s">
        <v>444</v>
      </c>
      <c r="D19" s="167"/>
      <c r="E19" s="365">
        <f>E16*E17</f>
        <v>7.33561614640105E-2</v>
      </c>
      <c r="G19" s="146"/>
      <c r="H19" s="147"/>
      <c r="I19" s="339" t="s">
        <v>441</v>
      </c>
      <c r="J19" s="365">
        <f>J17/J18</f>
        <v>0.16361851851851852</v>
      </c>
      <c r="L19" s="146"/>
      <c r="M19" s="339" t="s">
        <v>440</v>
      </c>
      <c r="N19" s="363"/>
      <c r="O19" s="365">
        <f>1-O17</f>
        <v>0.44833654605977846</v>
      </c>
    </row>
  </sheetData>
  <pageMargins left="0.7" right="0.7" top="0.75" bottom="0.75" header="0.3" footer="0.3"/>
  <pageSetup paperSize="9"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A2538-BAD6-EE43-BA5F-746AA64563A3}">
  <sheetPr codeName="Sheet13"/>
  <dimension ref="B1:E28"/>
  <sheetViews>
    <sheetView zoomScale="68" workbookViewId="0">
      <selection activeCell="F11" sqref="F11"/>
    </sheetView>
  </sheetViews>
  <sheetFormatPr baseColWidth="10" defaultRowHeight="27"/>
  <cols>
    <col min="1" max="1" width="2.1640625" style="49" customWidth="1"/>
    <col min="2" max="16384" width="10.83203125" style="49"/>
  </cols>
  <sheetData>
    <row r="1" spans="2:5" ht="45">
      <c r="B1" s="521" t="s">
        <v>538</v>
      </c>
    </row>
    <row r="2" spans="2:5" ht="37">
      <c r="B2" s="516" t="s">
        <v>545</v>
      </c>
      <c r="C2" s="516"/>
      <c r="D2" s="516"/>
      <c r="E2" s="517"/>
    </row>
    <row r="3" spans="2:5">
      <c r="C3" s="518" t="s">
        <v>562</v>
      </c>
      <c r="D3" s="518"/>
      <c r="E3" s="518"/>
    </row>
    <row r="4" spans="2:5">
      <c r="C4" s="518" t="s">
        <v>563</v>
      </c>
      <c r="D4" s="518"/>
      <c r="E4" s="518"/>
    </row>
    <row r="5" spans="2:5">
      <c r="C5" s="518" t="s">
        <v>575</v>
      </c>
      <c r="D5" s="518"/>
      <c r="E5" s="518"/>
    </row>
    <row r="6" spans="2:5">
      <c r="C6" s="518" t="s">
        <v>565</v>
      </c>
      <c r="D6" s="518"/>
      <c r="E6" s="518"/>
    </row>
    <row r="7" spans="2:5">
      <c r="C7" s="518" t="s">
        <v>574</v>
      </c>
      <c r="D7" s="518"/>
      <c r="E7" s="518"/>
    </row>
    <row r="8" spans="2:5">
      <c r="C8" s="518" t="s">
        <v>567</v>
      </c>
      <c r="D8" s="518"/>
      <c r="E8" s="518"/>
    </row>
    <row r="9" spans="2:5" ht="37">
      <c r="B9" s="519"/>
      <c r="C9" s="517"/>
      <c r="D9" s="517"/>
      <c r="E9" s="517"/>
    </row>
    <row r="10" spans="2:5" ht="37">
      <c r="B10" s="516" t="s">
        <v>546</v>
      </c>
      <c r="C10" s="516"/>
      <c r="D10" s="517"/>
      <c r="E10" s="517"/>
    </row>
    <row r="11" spans="2:5">
      <c r="C11" s="516" t="s">
        <v>568</v>
      </c>
      <c r="D11" s="516"/>
      <c r="E11" s="516"/>
    </row>
    <row r="12" spans="2:5" ht="37">
      <c r="D12" s="519" t="s">
        <v>547</v>
      </c>
      <c r="E12" s="517"/>
    </row>
    <row r="13" spans="2:5">
      <c r="E13" s="519" t="s">
        <v>548</v>
      </c>
    </row>
    <row r="14" spans="2:5">
      <c r="E14" s="519" t="s">
        <v>549</v>
      </c>
    </row>
    <row r="15" spans="2:5">
      <c r="B15" s="519"/>
      <c r="C15" s="520"/>
      <c r="D15" s="520"/>
      <c r="E15" s="520"/>
    </row>
    <row r="16" spans="2:5">
      <c r="B16" s="516" t="s">
        <v>551</v>
      </c>
      <c r="C16" s="516"/>
      <c r="D16" s="520"/>
      <c r="E16" s="520"/>
    </row>
    <row r="17" spans="2:5">
      <c r="C17" s="519" t="s">
        <v>573</v>
      </c>
      <c r="D17" s="516"/>
      <c r="E17" s="516"/>
    </row>
    <row r="18" spans="2:5">
      <c r="C18" s="516" t="s">
        <v>576</v>
      </c>
      <c r="D18" s="516"/>
      <c r="E18" s="516"/>
    </row>
    <row r="19" spans="2:5">
      <c r="B19" s="519"/>
      <c r="C19" s="520"/>
      <c r="D19" s="520"/>
      <c r="E19" s="520"/>
    </row>
    <row r="20" spans="2:5">
      <c r="B20" s="516" t="s">
        <v>552</v>
      </c>
      <c r="C20" s="516"/>
      <c r="D20" s="516"/>
      <c r="E20" s="520"/>
    </row>
    <row r="21" spans="2:5">
      <c r="C21" s="519" t="s">
        <v>570</v>
      </c>
      <c r="D21" s="516"/>
      <c r="E21" s="516"/>
    </row>
    <row r="22" spans="2:5">
      <c r="C22" s="519" t="s">
        <v>571</v>
      </c>
      <c r="D22" s="516"/>
      <c r="E22" s="516"/>
    </row>
    <row r="23" spans="2:5">
      <c r="C23" s="519" t="s">
        <v>572</v>
      </c>
      <c r="D23" s="516"/>
      <c r="E23" s="516"/>
    </row>
    <row r="24" spans="2:5">
      <c r="B24" s="519"/>
      <c r="C24" s="520"/>
      <c r="D24" s="520"/>
      <c r="E24" s="520"/>
    </row>
    <row r="25" spans="2:5">
      <c r="B25" s="516" t="s">
        <v>553</v>
      </c>
      <c r="C25" s="516"/>
      <c r="D25" s="520"/>
      <c r="E25" s="520"/>
    </row>
    <row r="26" spans="2:5">
      <c r="C26" s="516" t="s">
        <v>569</v>
      </c>
      <c r="D26" s="516"/>
      <c r="E26" s="516"/>
    </row>
    <row r="27" spans="2:5">
      <c r="B27" s="519"/>
      <c r="C27" s="519"/>
      <c r="D27" s="519"/>
      <c r="E27" s="519"/>
    </row>
    <row r="28" spans="2:5">
      <c r="B28" s="520"/>
      <c r="C28" s="520"/>
      <c r="D28" s="520"/>
      <c r="E28" s="520"/>
    </row>
  </sheetData>
  <pageMargins left="0.7" right="0.7" top="0.75" bottom="0.75" header="0.3" footer="0.3"/>
  <pageSetup paperSize="9"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112A9-A3A3-E34A-9846-1BE03298D009}">
  <sheetPr codeName="Sheet14"/>
  <dimension ref="A1:M51"/>
  <sheetViews>
    <sheetView topLeftCell="A24" zoomScale="114" workbookViewId="0">
      <selection activeCell="M16" sqref="M16"/>
    </sheetView>
  </sheetViews>
  <sheetFormatPr baseColWidth="10" defaultRowHeight="16"/>
  <cols>
    <col min="1" max="1" width="49.1640625" bestFit="1" customWidth="1"/>
    <col min="2" max="2" width="37" bestFit="1" customWidth="1"/>
    <col min="3" max="6" width="10.33203125" bestFit="1" customWidth="1"/>
    <col min="9" max="9" width="12.1640625" bestFit="1" customWidth="1"/>
  </cols>
  <sheetData>
    <row r="1" spans="1:6">
      <c r="A1" s="39" t="s">
        <v>217</v>
      </c>
      <c r="B1" s="40" t="s">
        <v>229</v>
      </c>
    </row>
    <row r="2" spans="1:6">
      <c r="A2" s="39" t="s">
        <v>230</v>
      </c>
      <c r="B2" s="39" t="s">
        <v>231</v>
      </c>
    </row>
    <row r="3" spans="1:6">
      <c r="A3" s="39"/>
      <c r="B3" s="39" t="s">
        <v>232</v>
      </c>
      <c r="C3" s="39" t="s">
        <v>233</v>
      </c>
      <c r="D3" s="39" t="s">
        <v>234</v>
      </c>
      <c r="E3" s="39" t="s">
        <v>235</v>
      </c>
      <c r="F3" s="39" t="s">
        <v>236</v>
      </c>
    </row>
    <row r="4" spans="1:6">
      <c r="A4" s="39" t="e" vm="1">
        <v>#VALUE!</v>
      </c>
    </row>
    <row r="5" spans="1:6">
      <c r="A5" s="41"/>
      <c r="B5" s="41" t="s">
        <v>237</v>
      </c>
      <c r="C5" s="41" t="s">
        <v>237</v>
      </c>
      <c r="D5" s="41" t="s">
        <v>237</v>
      </c>
      <c r="E5" s="41" t="s">
        <v>237</v>
      </c>
      <c r="F5" s="41" t="s">
        <v>237</v>
      </c>
    </row>
    <row r="6" spans="1:6">
      <c r="A6" s="39" t="e" vm="1">
        <v>#VALUE!</v>
      </c>
    </row>
    <row r="7" spans="1:6">
      <c r="A7" s="39" t="s">
        <v>73</v>
      </c>
      <c r="B7" s="39"/>
      <c r="C7" s="39"/>
      <c r="D7" s="39"/>
      <c r="E7" s="39"/>
    </row>
    <row r="8" spans="1:6">
      <c r="A8" s="41" t="s">
        <v>238</v>
      </c>
      <c r="B8" s="43">
        <v>12563.09</v>
      </c>
      <c r="C8" s="43">
        <v>12404.01</v>
      </c>
      <c r="D8" s="43">
        <v>11529.89</v>
      </c>
      <c r="E8" s="43">
        <v>10888.68</v>
      </c>
      <c r="F8" s="43">
        <v>9561.65</v>
      </c>
    </row>
    <row r="9" spans="1:6">
      <c r="A9" s="41" t="s">
        <v>239</v>
      </c>
      <c r="B9" s="41">
        <v>0</v>
      </c>
      <c r="C9" s="41">
        <v>0</v>
      </c>
      <c r="D9" s="41">
        <v>0</v>
      </c>
      <c r="E9" s="41">
        <v>0</v>
      </c>
      <c r="F9" s="41">
        <v>15.05</v>
      </c>
    </row>
    <row r="10" spans="1:6">
      <c r="A10" s="41" t="s">
        <v>240</v>
      </c>
      <c r="B10" s="43">
        <v>12563.09</v>
      </c>
      <c r="C10" s="43">
        <v>12404.01</v>
      </c>
      <c r="D10" s="43">
        <v>11529.89</v>
      </c>
      <c r="E10" s="43">
        <v>10888.68</v>
      </c>
      <c r="F10" s="43">
        <v>9546.6</v>
      </c>
    </row>
    <row r="11" spans="1:6">
      <c r="A11" s="41" t="s">
        <v>241</v>
      </c>
      <c r="B11" s="41">
        <v>553.20000000000005</v>
      </c>
      <c r="C11" s="41">
        <v>480.53</v>
      </c>
      <c r="D11" s="41">
        <v>443.83</v>
      </c>
      <c r="E11" s="41">
        <v>315.88</v>
      </c>
      <c r="F11" s="41">
        <v>329.49</v>
      </c>
    </row>
    <row r="12" spans="1:6">
      <c r="A12" s="41" t="s">
        <v>242</v>
      </c>
      <c r="B12" s="41">
        <v>57.1</v>
      </c>
      <c r="C12" s="41">
        <v>-48.95</v>
      </c>
      <c r="D12" s="41">
        <v>90.79</v>
      </c>
      <c r="E12" s="41">
        <v>8.5500000000000007</v>
      </c>
      <c r="F12" s="41">
        <v>207.2</v>
      </c>
    </row>
    <row r="13" spans="1:6">
      <c r="A13" s="39" t="s">
        <v>76</v>
      </c>
      <c r="B13" s="44">
        <v>13173.39</v>
      </c>
      <c r="C13" s="44">
        <v>12835.59</v>
      </c>
      <c r="D13" s="44">
        <v>12064.51</v>
      </c>
      <c r="E13" s="44">
        <v>11213.11</v>
      </c>
      <c r="F13" s="44">
        <v>10083.290000000001</v>
      </c>
    </row>
    <row r="14" spans="1:6">
      <c r="A14" s="39" t="s">
        <v>243</v>
      </c>
      <c r="B14" s="39"/>
      <c r="C14" s="39"/>
      <c r="D14" s="39"/>
      <c r="E14" s="39"/>
    </row>
    <row r="15" spans="1:6">
      <c r="A15" s="41" t="s">
        <v>244</v>
      </c>
      <c r="B15" s="43">
        <v>6640.59</v>
      </c>
      <c r="C15" s="43">
        <v>6447.46</v>
      </c>
      <c r="D15" s="43">
        <v>6406.88</v>
      </c>
      <c r="E15" s="43">
        <v>5685.19</v>
      </c>
      <c r="F15" s="43">
        <v>5014</v>
      </c>
    </row>
    <row r="16" spans="1:6">
      <c r="A16" s="41" t="s">
        <v>245</v>
      </c>
      <c r="B16" s="41">
        <v>155.94999999999999</v>
      </c>
      <c r="C16" s="41">
        <v>153.44</v>
      </c>
      <c r="D16" s="41">
        <v>150.59</v>
      </c>
      <c r="E16" s="41">
        <v>128.66</v>
      </c>
      <c r="F16" s="41">
        <v>104.01</v>
      </c>
    </row>
    <row r="17" spans="1:13">
      <c r="A17" s="41" t="s">
        <v>246</v>
      </c>
      <c r="B17" s="43">
        <v>1291.23</v>
      </c>
      <c r="C17" s="43">
        <v>1239.56</v>
      </c>
      <c r="D17" s="43">
        <v>1137</v>
      </c>
      <c r="E17" s="43">
        <v>1079.95</v>
      </c>
      <c r="F17" s="43">
        <v>1033.46</v>
      </c>
    </row>
    <row r="18" spans="1:13">
      <c r="A18" s="41" t="s">
        <v>247</v>
      </c>
      <c r="B18" s="41">
        <v>864.64</v>
      </c>
      <c r="C18" s="41">
        <v>849.06</v>
      </c>
      <c r="D18" s="41">
        <v>640.27</v>
      </c>
      <c r="E18" s="41">
        <v>777.94</v>
      </c>
      <c r="F18" s="41">
        <v>784.36</v>
      </c>
    </row>
    <row r="19" spans="1:13">
      <c r="A19" s="41" t="s">
        <v>248</v>
      </c>
      <c r="B19" s="43">
        <v>1351.44</v>
      </c>
      <c r="C19" s="43">
        <v>1265.31</v>
      </c>
      <c r="D19" s="43">
        <v>1121.82</v>
      </c>
      <c r="E19" s="41">
        <v>971.68</v>
      </c>
      <c r="F19" s="41">
        <v>815.29</v>
      </c>
    </row>
    <row r="20" spans="1:13">
      <c r="A20" s="41" t="s">
        <v>249</v>
      </c>
      <c r="B20" s="43">
        <v>10303.85</v>
      </c>
      <c r="C20" s="43">
        <v>9954.83</v>
      </c>
      <c r="D20" s="43">
        <v>9456.56</v>
      </c>
      <c r="E20" s="43">
        <v>8643.42</v>
      </c>
      <c r="F20" s="43">
        <v>7751.12</v>
      </c>
    </row>
    <row r="21" spans="1:13">
      <c r="A21" s="39"/>
      <c r="B21" s="39" t="s">
        <v>232</v>
      </c>
      <c r="C21" s="39" t="s">
        <v>233</v>
      </c>
      <c r="D21" s="39" t="s">
        <v>234</v>
      </c>
      <c r="E21" s="39" t="s">
        <v>235</v>
      </c>
      <c r="F21" s="39" t="s">
        <v>236</v>
      </c>
    </row>
    <row r="22" spans="1:13">
      <c r="A22" s="39" t="e" vm="1">
        <v>#VALUE!</v>
      </c>
    </row>
    <row r="23" spans="1:13">
      <c r="A23" s="41"/>
      <c r="B23" s="41" t="s">
        <v>237</v>
      </c>
      <c r="C23" s="41" t="s">
        <v>237</v>
      </c>
      <c r="D23" s="41" t="s">
        <v>237</v>
      </c>
      <c r="E23" s="41" t="s">
        <v>237</v>
      </c>
      <c r="F23" s="41" t="s">
        <v>237</v>
      </c>
    </row>
    <row r="24" spans="1:13">
      <c r="A24" s="39" t="e" vm="1">
        <v>#VALUE!</v>
      </c>
    </row>
    <row r="25" spans="1:13">
      <c r="A25" s="39" t="s">
        <v>250</v>
      </c>
      <c r="B25" s="44">
        <v>2316.34</v>
      </c>
      <c r="C25" s="44">
        <v>2400.23</v>
      </c>
      <c r="D25" s="44">
        <v>2164.12</v>
      </c>
      <c r="E25" s="44">
        <v>2253.81</v>
      </c>
      <c r="F25" s="44">
        <v>2002.68</v>
      </c>
    </row>
    <row r="26" spans="1:13">
      <c r="A26" s="41" t="s">
        <v>251</v>
      </c>
      <c r="B26" s="43">
        <v>2869.54</v>
      </c>
      <c r="C26" s="43">
        <v>2880.76</v>
      </c>
      <c r="D26" s="43">
        <v>2607.9499999999998</v>
      </c>
      <c r="E26" s="43">
        <v>2569.69</v>
      </c>
      <c r="F26" s="43">
        <v>2332.17</v>
      </c>
      <c r="H26" s="42">
        <f>B30+B27</f>
        <v>2423.94</v>
      </c>
    </row>
    <row r="27" spans="1:13">
      <c r="A27" s="41" t="s">
        <v>203</v>
      </c>
      <c r="B27" s="41">
        <v>163.5</v>
      </c>
      <c r="C27" s="41">
        <v>124.18</v>
      </c>
      <c r="D27" s="41">
        <v>78.239999999999995</v>
      </c>
      <c r="E27" s="41">
        <v>38.6</v>
      </c>
      <c r="F27" s="41">
        <v>30.81</v>
      </c>
    </row>
    <row r="28" spans="1:13">
      <c r="A28" s="41" t="s">
        <v>252</v>
      </c>
      <c r="B28" s="43">
        <v>2706.04</v>
      </c>
      <c r="C28" s="43">
        <v>2756.58</v>
      </c>
      <c r="D28" s="43">
        <v>2529.71</v>
      </c>
      <c r="E28" s="43">
        <v>2531.09</v>
      </c>
      <c r="F28" s="43">
        <v>2301.36</v>
      </c>
    </row>
    <row r="29" spans="1:13">
      <c r="A29" s="41" t="s">
        <v>253</v>
      </c>
      <c r="B29" s="41">
        <v>445.6</v>
      </c>
      <c r="C29" s="41">
        <v>399.21</v>
      </c>
      <c r="D29" s="41">
        <v>310.95999999999998</v>
      </c>
      <c r="E29" s="41">
        <v>252.89</v>
      </c>
      <c r="F29" s="41">
        <v>240.13</v>
      </c>
    </row>
    <row r="30" spans="1:13">
      <c r="A30" s="41" t="s">
        <v>254</v>
      </c>
      <c r="B30" s="43">
        <v>2260.44</v>
      </c>
      <c r="C30" s="43">
        <v>2357.37</v>
      </c>
      <c r="D30" s="43">
        <v>2218.75</v>
      </c>
      <c r="E30" s="43">
        <v>2278.1999999999998</v>
      </c>
      <c r="F30" s="43">
        <v>2061.23</v>
      </c>
      <c r="H30" s="47">
        <v>2056</v>
      </c>
      <c r="I30" s="47">
        <v>2269</v>
      </c>
      <c r="J30" s="47">
        <v>2219</v>
      </c>
      <c r="K30" s="47">
        <v>2359</v>
      </c>
      <c r="L30" s="47">
        <v>2258</v>
      </c>
      <c r="M30" s="47">
        <v>2278</v>
      </c>
    </row>
    <row r="31" spans="1:13">
      <c r="A31" s="41" t="s">
        <v>255</v>
      </c>
      <c r="B31" s="43">
        <v>2260.44</v>
      </c>
      <c r="C31" s="43">
        <v>2357.37</v>
      </c>
      <c r="D31" s="43">
        <v>2218.75</v>
      </c>
      <c r="E31" s="43">
        <v>2278.1999999999998</v>
      </c>
      <c r="F31" s="43">
        <v>2061.23</v>
      </c>
    </row>
    <row r="32" spans="1:13">
      <c r="A32" s="41" t="s">
        <v>256</v>
      </c>
      <c r="B32" s="41">
        <v>517.47</v>
      </c>
      <c r="C32" s="41">
        <v>547.42999999999995</v>
      </c>
      <c r="D32" s="41">
        <v>517.35</v>
      </c>
      <c r="E32" s="41">
        <v>526.38</v>
      </c>
      <c r="F32" s="41">
        <v>361.07</v>
      </c>
      <c r="I32" s="61">
        <f>(B32/B31)</f>
        <v>0.22892445718532675</v>
      </c>
      <c r="J32" s="61">
        <f t="shared" ref="J32:L32" si="0">(C32/C31)</f>
        <v>0.23222065267649966</v>
      </c>
      <c r="K32" s="61">
        <f t="shared" si="0"/>
        <v>0.23317183098591551</v>
      </c>
      <c r="L32" s="61">
        <f t="shared" si="0"/>
        <v>0.23105082960231763</v>
      </c>
    </row>
    <row r="33" spans="1:9">
      <c r="A33" s="39" t="s">
        <v>257</v>
      </c>
      <c r="B33" s="44">
        <v>1767.08</v>
      </c>
      <c r="C33" s="44">
        <v>1843.19</v>
      </c>
      <c r="D33" s="44">
        <v>1708.78</v>
      </c>
      <c r="E33" s="44">
        <v>1741.02</v>
      </c>
      <c r="F33" s="44">
        <v>1694.31</v>
      </c>
      <c r="G33" s="42">
        <f>F31-F32</f>
        <v>1700.16</v>
      </c>
    </row>
    <row r="34" spans="1:9">
      <c r="A34" s="41" t="s">
        <v>258</v>
      </c>
      <c r="B34" s="41">
        <v>-0.55000000000000004</v>
      </c>
      <c r="C34" s="41">
        <v>0.51</v>
      </c>
      <c r="D34" s="41">
        <v>1.63</v>
      </c>
      <c r="E34" s="41">
        <v>1.8</v>
      </c>
      <c r="F34" s="41">
        <v>1.01</v>
      </c>
    </row>
    <row r="35" spans="1:9">
      <c r="A35" s="41" t="s">
        <v>259</v>
      </c>
      <c r="B35" s="43">
        <v>1740.42</v>
      </c>
      <c r="C35" s="43">
        <v>1811.31</v>
      </c>
      <c r="D35" s="43">
        <v>1701.33</v>
      </c>
      <c r="E35" s="43">
        <v>1827.3</v>
      </c>
      <c r="F35" s="43">
        <v>1694.95</v>
      </c>
      <c r="G35" s="42">
        <f>E31-E32</f>
        <v>1751.8199999999997</v>
      </c>
      <c r="H35" s="42">
        <f>D31-D32</f>
        <v>1701.4</v>
      </c>
    </row>
    <row r="36" spans="1:9">
      <c r="A36" s="41" t="s">
        <v>260</v>
      </c>
      <c r="B36" s="43">
        <v>3663.26</v>
      </c>
      <c r="C36" s="43">
        <v>3507.37</v>
      </c>
      <c r="D36" s="43">
        <v>3049.68</v>
      </c>
      <c r="E36" s="43">
        <v>2958.23</v>
      </c>
      <c r="F36" s="43">
        <v>2737.12</v>
      </c>
    </row>
    <row r="37" spans="1:9">
      <c r="A37" s="41" t="s">
        <v>261</v>
      </c>
      <c r="B37" s="41">
        <v>974.78</v>
      </c>
      <c r="C37" s="41">
        <v>965.76</v>
      </c>
      <c r="D37" s="41">
        <v>921.31</v>
      </c>
      <c r="E37" s="41">
        <v>972.32</v>
      </c>
      <c r="F37" s="41">
        <v>592.09</v>
      </c>
    </row>
    <row r="38" spans="1:9">
      <c r="A38" s="39" t="s">
        <v>262</v>
      </c>
      <c r="B38" s="39"/>
      <c r="C38" s="39"/>
      <c r="D38" s="39"/>
      <c r="E38" s="39"/>
    </row>
    <row r="39" spans="1:9">
      <c r="A39" s="41" t="s">
        <v>263</v>
      </c>
      <c r="B39" s="43">
        <v>17723.18</v>
      </c>
      <c r="C39" s="43">
        <v>17720.39</v>
      </c>
      <c r="D39" s="43">
        <v>17717.63</v>
      </c>
      <c r="E39" s="43">
        <v>17678.560000000001</v>
      </c>
      <c r="F39" s="43">
        <v>17674.25</v>
      </c>
    </row>
    <row r="40" spans="1:9">
      <c r="A40" s="39" t="s">
        <v>264</v>
      </c>
      <c r="B40" s="39">
        <v>9.9700000000000006</v>
      </c>
      <c r="C40" s="39">
        <v>10.4</v>
      </c>
      <c r="D40" s="39">
        <v>9.64</v>
      </c>
      <c r="E40" s="39">
        <v>9.85</v>
      </c>
      <c r="F40" s="39">
        <v>9.59</v>
      </c>
    </row>
    <row r="41" spans="1:9">
      <c r="A41" s="41" t="s">
        <v>265</v>
      </c>
      <c r="B41" s="41">
        <v>60.94</v>
      </c>
      <c r="C41" s="41">
        <v>55.68</v>
      </c>
      <c r="D41" s="41">
        <v>50.31</v>
      </c>
      <c r="E41" s="41">
        <v>46.57</v>
      </c>
      <c r="F41" s="41">
        <v>43.36</v>
      </c>
    </row>
    <row r="43" spans="1:9">
      <c r="I43">
        <v>17723000000</v>
      </c>
    </row>
    <row r="51" spans="2:3">
      <c r="B51">
        <f>B37/B33</f>
        <v>0.55163320279783601</v>
      </c>
      <c r="C51">
        <f>5.5/8.52</f>
        <v>0.64553990610328638</v>
      </c>
    </row>
  </sheetData>
  <hyperlinks>
    <hyperlink ref="B1" r:id="rId1" display="javascript:void(0);" xr:uid="{F1A83F6C-7BF8-E24F-BF2D-DD3166BA9FF1}"/>
  </hyperlinks>
  <pageMargins left="0.7" right="0.7" top="0.75" bottom="0.75" header="0.3" footer="0.3"/>
  <pageSetup paperSize="9" orientation="portrait" horizontalDpi="0" verticalDpi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3BBE3-B387-3A45-9BE8-F297F3ECBE82}">
  <sheetPr codeName="Sheet15"/>
  <dimension ref="A1:F40"/>
  <sheetViews>
    <sheetView workbookViewId="0">
      <selection activeCell="A3" sqref="A3"/>
    </sheetView>
  </sheetViews>
  <sheetFormatPr baseColWidth="10" defaultRowHeight="16"/>
  <cols>
    <col min="1" max="1" width="28.5" bestFit="1" customWidth="1"/>
    <col min="2" max="2" width="37" bestFit="1" customWidth="1"/>
    <col min="3" max="4" width="10.33203125" bestFit="1" customWidth="1"/>
    <col min="5" max="6" width="9.1640625" bestFit="1" customWidth="1"/>
  </cols>
  <sheetData>
    <row r="1" spans="1:6">
      <c r="A1" s="39" t="s">
        <v>217</v>
      </c>
      <c r="B1" s="40" t="s">
        <v>229</v>
      </c>
    </row>
    <row r="2" spans="1:6">
      <c r="A2" s="39" t="s">
        <v>0</v>
      </c>
      <c r="B2" s="39" t="s">
        <v>231</v>
      </c>
    </row>
    <row r="3" spans="1:6">
      <c r="A3" s="39"/>
      <c r="B3" s="39" t="s">
        <v>232</v>
      </c>
      <c r="C3" s="39" t="s">
        <v>233</v>
      </c>
      <c r="D3" s="39" t="s">
        <v>234</v>
      </c>
      <c r="E3" s="39" t="s">
        <v>235</v>
      </c>
      <c r="F3" s="39" t="s">
        <v>236</v>
      </c>
    </row>
    <row r="4" spans="1:6">
      <c r="A4" s="39" t="e" vm="1">
        <v>#VALUE!</v>
      </c>
    </row>
    <row r="5" spans="1:6">
      <c r="A5" s="41"/>
      <c r="B5" s="41" t="s">
        <v>237</v>
      </c>
      <c r="C5" s="41" t="s">
        <v>237</v>
      </c>
      <c r="D5" s="41" t="s">
        <v>237</v>
      </c>
      <c r="E5" s="41" t="s">
        <v>237</v>
      </c>
      <c r="F5" s="41" t="s">
        <v>237</v>
      </c>
    </row>
    <row r="6" spans="1:6">
      <c r="A6" s="39" t="e" vm="1">
        <v>#VALUE!</v>
      </c>
    </row>
    <row r="7" spans="1:6">
      <c r="A7" s="39" t="s">
        <v>266</v>
      </c>
      <c r="B7" s="39"/>
      <c r="C7" s="39"/>
      <c r="D7" s="39"/>
      <c r="E7" s="39"/>
    </row>
    <row r="8" spans="1:6">
      <c r="A8" s="41" t="s">
        <v>267</v>
      </c>
      <c r="B8" s="41">
        <v>177.23</v>
      </c>
      <c r="C8" s="41">
        <v>177.2</v>
      </c>
      <c r="D8" s="41">
        <v>177.18</v>
      </c>
      <c r="E8" s="41">
        <v>176.79</v>
      </c>
      <c r="F8" s="41">
        <v>176.74</v>
      </c>
    </row>
    <row r="9" spans="1:6">
      <c r="A9" s="41" t="s">
        <v>268</v>
      </c>
      <c r="B9" s="41">
        <v>177.23</v>
      </c>
      <c r="C9" s="41">
        <v>177.2</v>
      </c>
      <c r="D9" s="41">
        <v>177.18</v>
      </c>
      <c r="E9" s="41">
        <v>176.79</v>
      </c>
      <c r="F9" s="41">
        <v>176.74</v>
      </c>
    </row>
    <row r="10" spans="1:6">
      <c r="A10" s="41" t="s">
        <v>269</v>
      </c>
      <c r="B10" s="41">
        <v>0</v>
      </c>
      <c r="C10" s="41">
        <v>0</v>
      </c>
      <c r="D10" s="41">
        <v>59.08</v>
      </c>
      <c r="E10" s="41">
        <v>148.21</v>
      </c>
      <c r="F10" s="41">
        <v>0</v>
      </c>
    </row>
    <row r="11" spans="1:6">
      <c r="A11" s="41" t="s">
        <v>270</v>
      </c>
      <c r="B11" s="43">
        <v>10623.46</v>
      </c>
      <c r="C11" s="43">
        <v>9689.1</v>
      </c>
      <c r="D11" s="43">
        <v>8737</v>
      </c>
      <c r="E11" s="43">
        <v>8056.3</v>
      </c>
      <c r="F11" s="43">
        <v>7486.79</v>
      </c>
    </row>
    <row r="12" spans="1:6">
      <c r="A12" s="39" t="s">
        <v>271</v>
      </c>
      <c r="B12" s="44">
        <v>10800.69</v>
      </c>
      <c r="C12" s="44">
        <v>9866.2999999999993</v>
      </c>
      <c r="D12" s="44">
        <v>8973.26</v>
      </c>
      <c r="E12" s="44">
        <v>8381.2999999999993</v>
      </c>
      <c r="F12" s="44">
        <v>7663.53</v>
      </c>
    </row>
    <row r="13" spans="1:6">
      <c r="A13" s="41" t="s">
        <v>272</v>
      </c>
      <c r="B13" s="41">
        <v>730.12</v>
      </c>
      <c r="C13" s="43">
        <v>1158.07</v>
      </c>
      <c r="D13" s="41">
        <v>999.02</v>
      </c>
      <c r="E13" s="41">
        <v>867.65</v>
      </c>
      <c r="F13" s="41">
        <v>483.27</v>
      </c>
    </row>
    <row r="14" spans="1:6">
      <c r="A14" s="39" t="s">
        <v>273</v>
      </c>
      <c r="B14" s="39">
        <v>730.12</v>
      </c>
      <c r="C14" s="44">
        <v>1158.07</v>
      </c>
      <c r="D14" s="39">
        <v>999.02</v>
      </c>
      <c r="E14" s="39">
        <v>867.65</v>
      </c>
      <c r="F14" s="39">
        <v>483.27</v>
      </c>
    </row>
    <row r="15" spans="1:6">
      <c r="A15" s="41" t="s">
        <v>274</v>
      </c>
      <c r="B15" s="41">
        <v>409.57</v>
      </c>
      <c r="C15" s="41">
        <v>436.78</v>
      </c>
      <c r="D15" s="41">
        <v>468.17</v>
      </c>
      <c r="E15" s="41">
        <v>40.549999999999997</v>
      </c>
      <c r="F15" s="41">
        <v>36.69</v>
      </c>
    </row>
    <row r="16" spans="1:6">
      <c r="A16" s="39" t="s">
        <v>55</v>
      </c>
      <c r="B16" s="44">
        <v>11940.38</v>
      </c>
      <c r="C16" s="44">
        <v>11461.15</v>
      </c>
      <c r="D16" s="44">
        <v>10440.450000000001</v>
      </c>
      <c r="E16" s="44">
        <v>9289.5</v>
      </c>
      <c r="F16" s="44">
        <v>8183.49</v>
      </c>
    </row>
    <row r="17" spans="1:6">
      <c r="A17" s="39"/>
      <c r="B17" s="39" t="s">
        <v>232</v>
      </c>
      <c r="C17" s="39" t="s">
        <v>233</v>
      </c>
      <c r="D17" s="39" t="s">
        <v>234</v>
      </c>
      <c r="E17" s="39" t="s">
        <v>235</v>
      </c>
      <c r="F17" s="39" t="s">
        <v>236</v>
      </c>
    </row>
    <row r="18" spans="1:6">
      <c r="A18" s="39" t="e" vm="1">
        <v>#VALUE!</v>
      </c>
    </row>
    <row r="19" spans="1:6">
      <c r="A19" s="41"/>
      <c r="B19" s="41" t="s">
        <v>237</v>
      </c>
      <c r="C19" s="41" t="s">
        <v>237</v>
      </c>
      <c r="D19" s="41" t="s">
        <v>237</v>
      </c>
      <c r="E19" s="41" t="s">
        <v>237</v>
      </c>
      <c r="F19" s="41" t="s">
        <v>237</v>
      </c>
    </row>
    <row r="20" spans="1:6">
      <c r="A20" s="39" t="e" vm="1">
        <v>#VALUE!</v>
      </c>
    </row>
    <row r="21" spans="1:6">
      <c r="A21" s="39" t="s">
        <v>275</v>
      </c>
      <c r="B21" s="39"/>
      <c r="C21" s="39"/>
      <c r="D21" s="39"/>
      <c r="E21" s="39"/>
    </row>
    <row r="22" spans="1:6">
      <c r="A22" s="41" t="s">
        <v>276</v>
      </c>
      <c r="B22" s="43">
        <v>6422.77</v>
      </c>
      <c r="C22" s="43">
        <v>5824.74</v>
      </c>
      <c r="D22" s="43">
        <v>5448.44</v>
      </c>
      <c r="E22" s="43">
        <v>3854.02</v>
      </c>
      <c r="F22" s="43">
        <v>3688.6</v>
      </c>
    </row>
    <row r="23" spans="1:6">
      <c r="A23" s="41" t="s">
        <v>277</v>
      </c>
      <c r="B23" s="43">
        <v>2433.08</v>
      </c>
      <c r="C23" s="43">
        <v>2009.74</v>
      </c>
      <c r="D23" s="43">
        <v>1869.79</v>
      </c>
      <c r="E23" s="43">
        <v>1546.12</v>
      </c>
      <c r="F23" s="43">
        <v>1445.68</v>
      </c>
    </row>
    <row r="24" spans="1:6">
      <c r="A24" s="39" t="s">
        <v>278</v>
      </c>
      <c r="B24" s="44">
        <v>3989.69</v>
      </c>
      <c r="C24" s="44">
        <v>3815</v>
      </c>
      <c r="D24" s="44">
        <v>3578.65</v>
      </c>
      <c r="E24" s="44">
        <v>2307.9</v>
      </c>
      <c r="F24" s="44">
        <v>2242.92</v>
      </c>
    </row>
    <row r="25" spans="1:6">
      <c r="A25" s="41" t="s">
        <v>279</v>
      </c>
      <c r="B25" s="41">
        <v>168.99</v>
      </c>
      <c r="C25" s="41">
        <v>232.23</v>
      </c>
      <c r="D25" s="41">
        <v>175.13</v>
      </c>
      <c r="E25" s="41">
        <v>167.5</v>
      </c>
      <c r="F25" s="41">
        <v>147.30000000000001</v>
      </c>
    </row>
    <row r="26" spans="1:6">
      <c r="A26" s="39" t="s">
        <v>280</v>
      </c>
      <c r="B26" s="44">
        <v>7467.86</v>
      </c>
      <c r="C26" s="44">
        <v>6932.69</v>
      </c>
      <c r="D26" s="44">
        <v>6265.26</v>
      </c>
      <c r="E26" s="44">
        <v>6219.62</v>
      </c>
      <c r="F26" s="44">
        <v>4159.63</v>
      </c>
    </row>
    <row r="27" spans="1:6">
      <c r="A27" s="41" t="s">
        <v>130</v>
      </c>
      <c r="B27" s="43">
        <v>2300.11</v>
      </c>
      <c r="C27" s="43">
        <v>1946.97</v>
      </c>
      <c r="D27" s="43">
        <v>2024.2</v>
      </c>
      <c r="E27" s="43">
        <v>1911.37</v>
      </c>
      <c r="F27" s="43">
        <v>1734.28</v>
      </c>
    </row>
    <row r="28" spans="1:6">
      <c r="A28" s="41" t="s">
        <v>281</v>
      </c>
      <c r="B28" s="41">
        <v>888.5</v>
      </c>
      <c r="C28" s="41">
        <v>898.72</v>
      </c>
      <c r="D28" s="41">
        <v>848.75</v>
      </c>
      <c r="E28" s="41">
        <v>646.15</v>
      </c>
      <c r="F28" s="41">
        <v>561.58000000000004</v>
      </c>
    </row>
    <row r="29" spans="1:6">
      <c r="A29" s="41" t="s">
        <v>282</v>
      </c>
      <c r="B29" s="41">
        <v>578.01</v>
      </c>
      <c r="C29" s="41">
        <v>666.36</v>
      </c>
      <c r="D29" s="41">
        <v>325.92</v>
      </c>
      <c r="E29" s="41">
        <v>570.14</v>
      </c>
      <c r="F29" s="43">
        <v>1329.03</v>
      </c>
    </row>
    <row r="30" spans="1:6">
      <c r="A30" s="41" t="s">
        <v>283</v>
      </c>
      <c r="B30" s="43">
        <v>3766.62</v>
      </c>
      <c r="C30" s="43">
        <v>3512.05</v>
      </c>
      <c r="D30" s="43">
        <v>3198.87</v>
      </c>
      <c r="E30" s="43">
        <v>3127.66</v>
      </c>
      <c r="F30" s="43">
        <v>3624.89</v>
      </c>
    </row>
    <row r="31" spans="1:6">
      <c r="A31" s="41" t="s">
        <v>284</v>
      </c>
      <c r="B31" s="41">
        <v>839.12</v>
      </c>
      <c r="C31" s="41">
        <v>630.71</v>
      </c>
      <c r="D31" s="41">
        <v>436.46</v>
      </c>
      <c r="E31" s="41">
        <v>461.85</v>
      </c>
      <c r="F31" s="41">
        <v>672.39</v>
      </c>
    </row>
    <row r="32" spans="1:6">
      <c r="A32" s="41" t="s">
        <v>285</v>
      </c>
      <c r="B32" s="43">
        <v>4605.74</v>
      </c>
      <c r="C32" s="43">
        <v>4142.76</v>
      </c>
      <c r="D32" s="43">
        <v>3635.33</v>
      </c>
      <c r="E32" s="43">
        <v>3589.51</v>
      </c>
      <c r="F32" s="43">
        <v>4297.28</v>
      </c>
    </row>
    <row r="33" spans="1:6">
      <c r="A33" s="41" t="s">
        <v>286</v>
      </c>
      <c r="B33" s="43">
        <v>3959.92</v>
      </c>
      <c r="C33" s="43">
        <v>3343.33</v>
      </c>
      <c r="D33" s="43">
        <v>2935.54</v>
      </c>
      <c r="E33" s="43">
        <v>2745.35</v>
      </c>
      <c r="F33" s="43">
        <v>2412.4899999999998</v>
      </c>
    </row>
    <row r="34" spans="1:6">
      <c r="A34" s="41" t="s">
        <v>42</v>
      </c>
      <c r="B34" s="41">
        <v>331.98</v>
      </c>
      <c r="C34" s="41">
        <v>318.2</v>
      </c>
      <c r="D34" s="41">
        <v>278.38</v>
      </c>
      <c r="E34" s="41">
        <v>249.68</v>
      </c>
      <c r="F34" s="41">
        <v>251.15</v>
      </c>
    </row>
    <row r="35" spans="1:6">
      <c r="A35" s="41" t="s">
        <v>287</v>
      </c>
      <c r="B35" s="43">
        <v>4291.8999999999996</v>
      </c>
      <c r="C35" s="43">
        <v>3661.53</v>
      </c>
      <c r="D35" s="43">
        <v>3213.92</v>
      </c>
      <c r="E35" s="43">
        <v>2995.03</v>
      </c>
      <c r="F35" s="43">
        <v>2663.64</v>
      </c>
    </row>
    <row r="36" spans="1:6">
      <c r="A36" s="39" t="s">
        <v>288</v>
      </c>
      <c r="B36" s="39">
        <v>313.83999999999997</v>
      </c>
      <c r="C36" s="39">
        <v>481.23</v>
      </c>
      <c r="D36" s="39">
        <v>421.41</v>
      </c>
      <c r="E36" s="39">
        <v>594.48</v>
      </c>
      <c r="F36" s="44">
        <v>1633.64</v>
      </c>
    </row>
    <row r="37" spans="1:6">
      <c r="A37" s="39" t="s">
        <v>289</v>
      </c>
      <c r="B37" s="44">
        <v>11940.38</v>
      </c>
      <c r="C37" s="44">
        <v>11461.15</v>
      </c>
      <c r="D37" s="44">
        <v>10440.450000000001</v>
      </c>
      <c r="E37" s="44">
        <v>9289.5</v>
      </c>
      <c r="F37" s="44">
        <v>8183.49</v>
      </c>
    </row>
    <row r="38" spans="1:6">
      <c r="A38" s="41" t="e" vm="1">
        <v>#VALUE!</v>
      </c>
    </row>
    <row r="39" spans="1:6">
      <c r="A39" s="41" t="s">
        <v>290</v>
      </c>
      <c r="B39" s="41">
        <v>754.11</v>
      </c>
      <c r="C39" s="41">
        <v>593.44000000000005</v>
      </c>
      <c r="D39" s="41">
        <v>521.73</v>
      </c>
      <c r="E39" s="41">
        <v>555.05999999999995</v>
      </c>
      <c r="F39" s="41">
        <v>347.77</v>
      </c>
    </row>
    <row r="40" spans="1:6">
      <c r="A40" s="41" t="s">
        <v>265</v>
      </c>
      <c r="B40" s="41">
        <v>60.94</v>
      </c>
      <c r="C40" s="41">
        <v>55.68</v>
      </c>
      <c r="D40" s="41">
        <v>50.31</v>
      </c>
      <c r="E40" s="41">
        <v>46.57</v>
      </c>
      <c r="F40" s="41">
        <v>43.36</v>
      </c>
    </row>
  </sheetData>
  <hyperlinks>
    <hyperlink ref="B1" r:id="rId1" display="javascript:void(0);" xr:uid="{2740F923-AF73-1C49-922E-7D8CCE4F9832}"/>
  </hyperlinks>
  <pageMargins left="0.7" right="0.7" top="0.75" bottom="0.75" header="0.3" footer="0.3"/>
  <pageSetup paperSize="9" orientation="portrait" horizontalDpi="0" verticalDpi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F8DA0-2970-814F-B54E-C3FFB3846C14}">
  <sheetPr codeName="Sheet16"/>
  <dimension ref="B2:N45"/>
  <sheetViews>
    <sheetView workbookViewId="0">
      <selection activeCell="I25" sqref="I25"/>
    </sheetView>
  </sheetViews>
  <sheetFormatPr baseColWidth="10" defaultRowHeight="16"/>
  <cols>
    <col min="2" max="2" width="54.33203125" bestFit="1" customWidth="1"/>
    <col min="3" max="3" width="37" bestFit="1" customWidth="1"/>
    <col min="4" max="7" width="10" bestFit="1" customWidth="1"/>
  </cols>
  <sheetData>
    <row r="2" spans="2:7">
      <c r="B2" s="39" t="s">
        <v>217</v>
      </c>
      <c r="C2" s="40" t="s">
        <v>229</v>
      </c>
    </row>
    <row r="3" spans="2:7">
      <c r="B3" s="39" t="s">
        <v>291</v>
      </c>
      <c r="C3" s="39" t="s">
        <v>231</v>
      </c>
    </row>
    <row r="4" spans="2:7">
      <c r="B4" s="39"/>
      <c r="C4" s="39" t="s">
        <v>232</v>
      </c>
      <c r="D4" s="39" t="s">
        <v>233</v>
      </c>
      <c r="E4" s="39" t="s">
        <v>234</v>
      </c>
      <c r="F4" s="39" t="s">
        <v>235</v>
      </c>
      <c r="G4" s="39" t="s">
        <v>236</v>
      </c>
    </row>
    <row r="5" spans="2:7">
      <c r="B5" s="39" t="e" vm="1">
        <v>#VALUE!</v>
      </c>
    </row>
    <row r="6" spans="2:7">
      <c r="B6" s="41"/>
      <c r="C6" s="41" t="s">
        <v>237</v>
      </c>
      <c r="D6" s="41" t="s">
        <v>237</v>
      </c>
      <c r="E6" s="41" t="s">
        <v>237</v>
      </c>
      <c r="F6" s="41" t="s">
        <v>237</v>
      </c>
      <c r="G6" s="41" t="s">
        <v>237</v>
      </c>
    </row>
    <row r="7" spans="2:7">
      <c r="B7" s="39" t="e" vm="1">
        <v>#VALUE!</v>
      </c>
    </row>
    <row r="8" spans="2:7">
      <c r="B8" s="39" t="s">
        <v>292</v>
      </c>
      <c r="C8" s="39">
        <v>2257.89</v>
      </c>
      <c r="D8" s="39">
        <v>2358.7399999999998</v>
      </c>
      <c r="E8" s="39">
        <v>2218.6799999999998</v>
      </c>
      <c r="F8" s="39">
        <v>2268.6799999999998</v>
      </c>
      <c r="G8" s="39">
        <v>2056.02</v>
      </c>
    </row>
    <row r="9" spans="2:7">
      <c r="B9" s="41" t="s">
        <v>293</v>
      </c>
      <c r="C9" s="41">
        <v>1986.75</v>
      </c>
      <c r="D9" s="41">
        <v>2013.47</v>
      </c>
      <c r="E9" s="41">
        <v>1488.43</v>
      </c>
      <c r="F9" s="41">
        <v>1802.33</v>
      </c>
      <c r="G9" s="41">
        <v>2114.67</v>
      </c>
    </row>
    <row r="10" spans="2:7">
      <c r="B10" s="41" t="s">
        <v>294</v>
      </c>
      <c r="C10" s="749">
        <v>-449.11</v>
      </c>
      <c r="D10" s="749">
        <v>-971.74</v>
      </c>
      <c r="E10" s="749">
        <v>-586.54</v>
      </c>
      <c r="F10" s="749">
        <v>-1275.45</v>
      </c>
      <c r="G10" s="749">
        <v>-1405.78</v>
      </c>
    </row>
    <row r="11" spans="2:7">
      <c r="B11" s="41" t="s">
        <v>295</v>
      </c>
      <c r="C11" s="749"/>
      <c r="D11" s="749"/>
      <c r="E11" s="749"/>
      <c r="F11" s="749"/>
      <c r="G11" s="749"/>
    </row>
    <row r="12" spans="2:7">
      <c r="B12" s="41" t="s">
        <v>296</v>
      </c>
      <c r="C12" s="41">
        <v>-1405.34</v>
      </c>
      <c r="D12" s="41">
        <v>-1161.18</v>
      </c>
      <c r="E12" s="41">
        <v>-1035.24</v>
      </c>
      <c r="F12" s="41">
        <v>-490.49</v>
      </c>
      <c r="G12" s="41">
        <v>-613.41</v>
      </c>
    </row>
    <row r="13" spans="2:7">
      <c r="B13" s="39" t="s">
        <v>297</v>
      </c>
      <c r="C13" s="39">
        <v>133.15</v>
      </c>
      <c r="D13" s="39">
        <v>-118.75</v>
      </c>
      <c r="E13" s="39">
        <v>-131.01</v>
      </c>
      <c r="F13" s="39">
        <v>38.39</v>
      </c>
      <c r="G13" s="39">
        <v>97.04</v>
      </c>
    </row>
    <row r="14" spans="2:7">
      <c r="B14" s="41" t="s">
        <v>298</v>
      </c>
      <c r="C14" s="41">
        <v>-21.18</v>
      </c>
      <c r="D14" s="41">
        <v>97.57</v>
      </c>
      <c r="E14" s="41">
        <v>228.58</v>
      </c>
      <c r="F14" s="41">
        <v>188.78</v>
      </c>
      <c r="G14" s="41">
        <v>91.74</v>
      </c>
    </row>
    <row r="15" spans="2:7">
      <c r="B15" s="41" t="s">
        <v>299</v>
      </c>
      <c r="C15" s="41">
        <v>111.97</v>
      </c>
      <c r="D15" s="41">
        <v>-21.18</v>
      </c>
      <c r="E15" s="41">
        <v>97.57</v>
      </c>
      <c r="F15" s="41">
        <v>227.17</v>
      </c>
      <c r="G15" s="41">
        <v>188.78</v>
      </c>
    </row>
    <row r="16" spans="2:7">
      <c r="B16" s="41"/>
      <c r="C16" s="41"/>
    </row>
    <row r="20" spans="2:14">
      <c r="C20" s="45">
        <v>41699</v>
      </c>
      <c r="D20" s="45">
        <v>42064</v>
      </c>
      <c r="E20" s="45">
        <v>42430</v>
      </c>
      <c r="F20" s="45">
        <v>42795</v>
      </c>
      <c r="G20" s="45">
        <v>43160</v>
      </c>
      <c r="H20" s="45">
        <v>43525</v>
      </c>
      <c r="I20" s="45">
        <v>43891</v>
      </c>
      <c r="J20" s="45">
        <v>44256</v>
      </c>
      <c r="K20" s="45">
        <v>44621</v>
      </c>
      <c r="L20" s="45">
        <v>44986</v>
      </c>
      <c r="M20" s="45">
        <v>45352</v>
      </c>
      <c r="N20" s="45">
        <v>45717</v>
      </c>
    </row>
    <row r="21" spans="2:14">
      <c r="B21" s="46" t="s">
        <v>300</v>
      </c>
      <c r="C21" s="47">
        <v>1098</v>
      </c>
      <c r="D21" s="47">
        <v>1047</v>
      </c>
      <c r="E21" s="47">
        <v>1187</v>
      </c>
      <c r="F21" s="47">
        <v>1227</v>
      </c>
      <c r="G21" s="47">
        <v>1092</v>
      </c>
      <c r="H21" s="47">
        <v>1499</v>
      </c>
      <c r="I21" s="47">
        <v>1614</v>
      </c>
      <c r="J21" s="47">
        <v>2115</v>
      </c>
      <c r="K21" s="47">
        <v>1802</v>
      </c>
      <c r="L21" s="47">
        <v>1488</v>
      </c>
      <c r="M21" s="47">
        <v>2013</v>
      </c>
      <c r="N21" s="47">
        <v>1987</v>
      </c>
    </row>
    <row r="22" spans="2:14">
      <c r="B22" s="46" t="s">
        <v>301</v>
      </c>
      <c r="C22" s="47">
        <v>1202</v>
      </c>
      <c r="D22" s="47">
        <v>1394</v>
      </c>
      <c r="E22" s="47">
        <v>1543</v>
      </c>
      <c r="F22" s="47">
        <v>1462</v>
      </c>
      <c r="G22" s="47">
        <v>1678</v>
      </c>
      <c r="H22" s="47">
        <v>1868</v>
      </c>
      <c r="I22" s="47">
        <v>1981</v>
      </c>
      <c r="J22" s="47">
        <v>2048</v>
      </c>
      <c r="K22" s="47">
        <v>2287</v>
      </c>
      <c r="L22" s="47">
        <v>2143</v>
      </c>
      <c r="M22" s="47">
        <v>2406</v>
      </c>
      <c r="N22" s="47">
        <v>2402</v>
      </c>
    </row>
    <row r="23" spans="2:14">
      <c r="B23" s="48" t="s">
        <v>302</v>
      </c>
      <c r="C23" s="48">
        <v>-187</v>
      </c>
      <c r="D23" s="48">
        <v>-142</v>
      </c>
      <c r="E23" s="48">
        <v>-14</v>
      </c>
      <c r="F23" s="48">
        <v>115</v>
      </c>
      <c r="G23" s="48">
        <v>-60</v>
      </c>
      <c r="H23" s="48">
        <v>-130</v>
      </c>
      <c r="I23" s="48">
        <v>14</v>
      </c>
      <c r="J23" s="48">
        <v>248</v>
      </c>
      <c r="K23" s="48">
        <v>-78</v>
      </c>
      <c r="L23" s="48">
        <v>-191</v>
      </c>
      <c r="M23" s="48">
        <v>-55</v>
      </c>
      <c r="N23" s="48">
        <v>12</v>
      </c>
    </row>
    <row r="24" spans="2:14">
      <c r="B24" s="48" t="s">
        <v>303</v>
      </c>
      <c r="C24" s="48">
        <v>-128</v>
      </c>
      <c r="D24" s="48">
        <v>-1</v>
      </c>
      <c r="E24" s="48">
        <v>-123</v>
      </c>
      <c r="F24" s="48">
        <v>-10</v>
      </c>
      <c r="G24" s="48">
        <v>-149</v>
      </c>
      <c r="H24" s="48">
        <v>-44</v>
      </c>
      <c r="I24" s="48">
        <v>-79</v>
      </c>
      <c r="J24" s="48">
        <v>-355</v>
      </c>
      <c r="K24" s="48">
        <v>-177</v>
      </c>
      <c r="L24" s="48">
        <v>-96</v>
      </c>
      <c r="M24" s="48">
        <v>77</v>
      </c>
      <c r="N24" s="48">
        <v>-353</v>
      </c>
    </row>
    <row r="25" spans="2:14">
      <c r="B25" s="48" t="s">
        <v>304</v>
      </c>
      <c r="C25" s="48">
        <v>397</v>
      </c>
      <c r="D25" s="48">
        <v>26</v>
      </c>
      <c r="E25" s="48">
        <v>62</v>
      </c>
      <c r="F25" s="48">
        <v>-16</v>
      </c>
      <c r="G25" s="48">
        <v>86</v>
      </c>
      <c r="H25" s="48">
        <v>45</v>
      </c>
      <c r="I25" s="48">
        <v>26</v>
      </c>
      <c r="J25" s="48">
        <v>434</v>
      </c>
      <c r="K25" s="48">
        <v>108</v>
      </c>
      <c r="L25" s="48">
        <v>141</v>
      </c>
      <c r="M25" s="48">
        <v>217</v>
      </c>
      <c r="N25" s="48">
        <v>407</v>
      </c>
    </row>
    <row r="26" spans="2:14">
      <c r="B26" s="48" t="s">
        <v>305</v>
      </c>
      <c r="C26" s="48">
        <v>0</v>
      </c>
      <c r="D26" s="48">
        <v>0</v>
      </c>
      <c r="E26" s="48">
        <v>0</v>
      </c>
      <c r="F26" s="48">
        <v>-1</v>
      </c>
      <c r="G26" s="48">
        <v>-138</v>
      </c>
      <c r="H26" s="48">
        <v>111</v>
      </c>
      <c r="I26" s="48">
        <v>-19</v>
      </c>
      <c r="J26" s="48">
        <v>62</v>
      </c>
      <c r="K26" s="48">
        <v>51</v>
      </c>
      <c r="L26" s="48">
        <v>-15</v>
      </c>
      <c r="M26" s="48">
        <v>-137</v>
      </c>
      <c r="N26" s="48">
        <v>-77</v>
      </c>
    </row>
    <row r="27" spans="2:14">
      <c r="B27" s="46" t="s">
        <v>306</v>
      </c>
      <c r="C27" s="46">
        <v>82</v>
      </c>
      <c r="D27" s="46">
        <v>-117</v>
      </c>
      <c r="E27" s="46">
        <v>-75</v>
      </c>
      <c r="F27" s="46">
        <v>87</v>
      </c>
      <c r="G27" s="46">
        <v>-262</v>
      </c>
      <c r="H27" s="46">
        <v>-18</v>
      </c>
      <c r="I27" s="46">
        <v>-58</v>
      </c>
      <c r="J27" s="46">
        <v>388</v>
      </c>
      <c r="K27" s="46">
        <v>-97</v>
      </c>
      <c r="L27" s="46">
        <v>-160</v>
      </c>
      <c r="M27" s="46">
        <v>101</v>
      </c>
      <c r="N27" s="46">
        <v>-11</v>
      </c>
    </row>
    <row r="28" spans="2:14">
      <c r="B28" s="48" t="s">
        <v>307</v>
      </c>
      <c r="C28" s="48">
        <v>-186</v>
      </c>
      <c r="D28" s="48">
        <v>-230</v>
      </c>
      <c r="E28" s="48">
        <v>-281</v>
      </c>
      <c r="F28" s="48">
        <v>-322</v>
      </c>
      <c r="G28" s="48">
        <v>-325</v>
      </c>
      <c r="H28" s="48">
        <v>-351</v>
      </c>
      <c r="I28" s="48">
        <v>-309</v>
      </c>
      <c r="J28" s="48">
        <v>-321</v>
      </c>
      <c r="K28" s="48">
        <v>-388</v>
      </c>
      <c r="L28" s="48">
        <v>-494</v>
      </c>
      <c r="M28" s="48">
        <v>-494</v>
      </c>
      <c r="N28" s="48">
        <v>-405</v>
      </c>
    </row>
    <row r="29" spans="2:14">
      <c r="B29" s="46" t="s">
        <v>308</v>
      </c>
      <c r="C29" s="46">
        <v>-104</v>
      </c>
      <c r="D29" s="46">
        <v>-876</v>
      </c>
      <c r="E29" s="46">
        <v>-730</v>
      </c>
      <c r="F29" s="46">
        <v>-807</v>
      </c>
      <c r="G29" s="46">
        <v>-541</v>
      </c>
      <c r="H29" s="46">
        <v>338</v>
      </c>
      <c r="I29" s="46">
        <v>-517</v>
      </c>
      <c r="J29" s="47">
        <v>-1404</v>
      </c>
      <c r="K29" s="47">
        <v>-1273</v>
      </c>
      <c r="L29" s="46">
        <v>-583</v>
      </c>
      <c r="M29" s="46">
        <v>-971</v>
      </c>
      <c r="N29" s="46">
        <v>-448</v>
      </c>
    </row>
    <row r="30" spans="2:14">
      <c r="B30" s="48" t="s">
        <v>309</v>
      </c>
      <c r="C30" s="48">
        <v>-215</v>
      </c>
      <c r="D30" s="48">
        <v>-267</v>
      </c>
      <c r="E30" s="48">
        <v>-200</v>
      </c>
      <c r="F30" s="48">
        <v>-490</v>
      </c>
      <c r="G30" s="48">
        <v>-207</v>
      </c>
      <c r="H30" s="48">
        <v>-234</v>
      </c>
      <c r="I30" s="48">
        <v>-417</v>
      </c>
      <c r="J30" s="48">
        <v>-311</v>
      </c>
      <c r="K30" s="48">
        <v>-374</v>
      </c>
      <c r="L30" s="48">
        <v>-509</v>
      </c>
      <c r="M30" s="48">
        <v>-564</v>
      </c>
      <c r="N30" s="48">
        <v>-570</v>
      </c>
    </row>
    <row r="31" spans="2:14">
      <c r="B31" s="48" t="s">
        <v>310</v>
      </c>
      <c r="C31" s="48">
        <v>2</v>
      </c>
      <c r="D31" s="48">
        <v>16</v>
      </c>
      <c r="E31" s="48">
        <v>11</v>
      </c>
      <c r="F31" s="48">
        <v>4</v>
      </c>
      <c r="G31" s="48">
        <v>7</v>
      </c>
      <c r="H31" s="48">
        <v>9</v>
      </c>
      <c r="I31" s="48">
        <v>17</v>
      </c>
      <c r="J31" s="48">
        <v>5</v>
      </c>
      <c r="K31" s="48">
        <v>5</v>
      </c>
      <c r="L31" s="48">
        <v>23</v>
      </c>
      <c r="M31" s="48">
        <v>3</v>
      </c>
      <c r="N31" s="48">
        <v>30</v>
      </c>
    </row>
    <row r="32" spans="2:14">
      <c r="B32" s="48" t="s">
        <v>311</v>
      </c>
      <c r="C32" s="38">
        <v>-6446</v>
      </c>
      <c r="D32" s="38">
        <v>-6317</v>
      </c>
      <c r="E32" s="38">
        <v>-7341</v>
      </c>
      <c r="F32" s="38">
        <v>-9111</v>
      </c>
      <c r="G32" s="38">
        <v>-9001</v>
      </c>
      <c r="H32" s="38">
        <v>-5393</v>
      </c>
      <c r="I32" s="38">
        <v>-8479</v>
      </c>
      <c r="J32" s="38">
        <v>-7635</v>
      </c>
      <c r="K32" s="38">
        <v>-7507</v>
      </c>
      <c r="L32" s="38">
        <v>-4177</v>
      </c>
      <c r="M32" s="38">
        <v>-5142</v>
      </c>
      <c r="N32" s="38">
        <v>-6188</v>
      </c>
    </row>
    <row r="33" spans="2:14">
      <c r="B33" s="48" t="s">
        <v>312</v>
      </c>
      <c r="C33" s="38">
        <v>6456</v>
      </c>
      <c r="D33" s="38">
        <v>5596</v>
      </c>
      <c r="E33" s="38">
        <v>6653</v>
      </c>
      <c r="F33" s="38">
        <v>8600</v>
      </c>
      <c r="G33" s="38">
        <v>8418</v>
      </c>
      <c r="H33" s="38">
        <v>5710</v>
      </c>
      <c r="I33" s="38">
        <v>8114</v>
      </c>
      <c r="J33" s="38">
        <v>6274</v>
      </c>
      <c r="K33" s="38">
        <v>6234</v>
      </c>
      <c r="L33" s="38">
        <v>4164</v>
      </c>
      <c r="M33" s="38">
        <v>4344</v>
      </c>
      <c r="N33" s="38">
        <v>5879</v>
      </c>
    </row>
    <row r="34" spans="2:14">
      <c r="B34" s="48" t="s">
        <v>313</v>
      </c>
      <c r="C34" s="48">
        <v>95</v>
      </c>
      <c r="D34" s="48">
        <v>96</v>
      </c>
      <c r="E34" s="48">
        <v>148</v>
      </c>
      <c r="F34" s="48">
        <v>190</v>
      </c>
      <c r="G34" s="48">
        <v>244</v>
      </c>
      <c r="H34" s="48">
        <v>244</v>
      </c>
      <c r="I34" s="48">
        <v>248</v>
      </c>
      <c r="J34" s="48">
        <v>262</v>
      </c>
      <c r="K34" s="48">
        <v>367</v>
      </c>
      <c r="L34" s="48">
        <v>394</v>
      </c>
      <c r="M34" s="48">
        <v>387</v>
      </c>
      <c r="N34" s="48">
        <v>399</v>
      </c>
    </row>
    <row r="35" spans="2:14">
      <c r="B35" s="48" t="s">
        <v>314</v>
      </c>
      <c r="C35" s="48">
        <v>0</v>
      </c>
      <c r="D35" s="48" t="s">
        <v>367</v>
      </c>
      <c r="E35" s="48">
        <v>0</v>
      </c>
      <c r="F35" s="48">
        <v>0</v>
      </c>
      <c r="G35" s="48">
        <v>0</v>
      </c>
      <c r="H35" s="48">
        <v>0</v>
      </c>
      <c r="I35" s="48">
        <v>0</v>
      </c>
      <c r="J35" s="48">
        <v>0</v>
      </c>
      <c r="K35" s="48">
        <v>0</v>
      </c>
      <c r="L35" s="48">
        <v>-481</v>
      </c>
      <c r="M35" s="48">
        <v>0</v>
      </c>
      <c r="N35" s="48">
        <v>0</v>
      </c>
    </row>
    <row r="36" spans="2:14">
      <c r="B36" s="48" t="s">
        <v>315</v>
      </c>
      <c r="C36" s="48">
        <v>3</v>
      </c>
      <c r="D36" s="48">
        <v>0</v>
      </c>
      <c r="E36" s="48">
        <v>-1</v>
      </c>
      <c r="F36" s="48">
        <v>0</v>
      </c>
      <c r="G36" s="48">
        <v>-1</v>
      </c>
      <c r="H36" s="48">
        <v>1</v>
      </c>
      <c r="I36" s="48">
        <v>0</v>
      </c>
      <c r="J36" s="48">
        <v>2</v>
      </c>
      <c r="K36" s="48">
        <v>2</v>
      </c>
      <c r="L36" s="48">
        <v>4</v>
      </c>
      <c r="M36" s="48">
        <v>1</v>
      </c>
      <c r="N36" s="48">
        <v>1</v>
      </c>
    </row>
    <row r="37" spans="2:14">
      <c r="B37" s="46" t="s">
        <v>316</v>
      </c>
      <c r="C37" s="46">
        <v>-804</v>
      </c>
      <c r="D37" s="46">
        <v>-417</v>
      </c>
      <c r="E37" s="46">
        <v>-374</v>
      </c>
      <c r="F37" s="46">
        <v>-339</v>
      </c>
      <c r="G37" s="46">
        <v>-577</v>
      </c>
      <c r="H37" s="47">
        <v>-1888</v>
      </c>
      <c r="I37" s="47">
        <v>-1043</v>
      </c>
      <c r="J37" s="46">
        <v>-613</v>
      </c>
      <c r="K37" s="46">
        <v>-490</v>
      </c>
      <c r="L37" s="47">
        <v>-1035</v>
      </c>
      <c r="M37" s="47">
        <v>-1161</v>
      </c>
      <c r="N37" s="47">
        <v>-1405</v>
      </c>
    </row>
    <row r="38" spans="2:14">
      <c r="B38" s="48" t="s">
        <v>317</v>
      </c>
      <c r="C38" s="48">
        <v>0</v>
      </c>
      <c r="D38" s="48">
        <v>46</v>
      </c>
      <c r="E38" s="48">
        <v>17</v>
      </c>
      <c r="F38" s="48">
        <v>15</v>
      </c>
      <c r="G38" s="48">
        <v>0</v>
      </c>
      <c r="H38" s="48">
        <v>0</v>
      </c>
      <c r="I38" s="48">
        <v>0</v>
      </c>
      <c r="J38" s="48">
        <v>0</v>
      </c>
      <c r="K38" s="48">
        <v>0</v>
      </c>
      <c r="L38" s="48">
        <v>0</v>
      </c>
      <c r="M38" s="48">
        <v>0</v>
      </c>
      <c r="N38" s="48">
        <v>0</v>
      </c>
    </row>
    <row r="39" spans="2:14">
      <c r="B39" s="48" t="s">
        <v>318</v>
      </c>
      <c r="C39" s="48">
        <v>0</v>
      </c>
      <c r="D39" s="48">
        <v>75</v>
      </c>
      <c r="E39" s="48">
        <v>131</v>
      </c>
      <c r="F39" s="48">
        <v>168</v>
      </c>
      <c r="G39" s="48">
        <v>4</v>
      </c>
      <c r="H39" s="48">
        <v>32</v>
      </c>
      <c r="I39" s="48">
        <v>0</v>
      </c>
      <c r="J39" s="48">
        <v>65</v>
      </c>
      <c r="K39" s="48">
        <v>541</v>
      </c>
      <c r="L39" s="48">
        <v>935</v>
      </c>
      <c r="M39" s="48">
        <v>631</v>
      </c>
      <c r="N39" s="48">
        <v>638</v>
      </c>
    </row>
    <row r="40" spans="2:14">
      <c r="B40" s="48" t="s">
        <v>319</v>
      </c>
      <c r="C40" s="48">
        <v>-443</v>
      </c>
      <c r="D40" s="48">
        <v>-50</v>
      </c>
      <c r="E40" s="48">
        <v>-60</v>
      </c>
      <c r="F40" s="48">
        <v>0</v>
      </c>
      <c r="G40" s="48">
        <v>-62</v>
      </c>
      <c r="H40" s="48">
        <v>-272</v>
      </c>
      <c r="I40" s="48">
        <v>-358</v>
      </c>
      <c r="J40" s="48">
        <v>-28</v>
      </c>
      <c r="K40" s="48">
        <v>0</v>
      </c>
      <c r="L40" s="48">
        <v>-886</v>
      </c>
      <c r="M40" s="48">
        <v>-678</v>
      </c>
      <c r="N40" s="48">
        <v>-855</v>
      </c>
    </row>
    <row r="41" spans="2:14">
      <c r="B41" s="48" t="s">
        <v>320</v>
      </c>
      <c r="C41" s="48">
        <v>-34</v>
      </c>
      <c r="D41" s="48">
        <v>-26</v>
      </c>
      <c r="E41" s="48">
        <v>-40</v>
      </c>
      <c r="F41" s="48">
        <v>-45</v>
      </c>
      <c r="G41" s="48">
        <v>-43</v>
      </c>
      <c r="H41" s="48">
        <v>-52</v>
      </c>
      <c r="I41" s="48">
        <v>-42</v>
      </c>
      <c r="J41" s="48">
        <v>-31</v>
      </c>
      <c r="K41" s="48">
        <v>-33</v>
      </c>
      <c r="L41" s="48">
        <v>-89</v>
      </c>
      <c r="M41" s="48">
        <v>-119</v>
      </c>
      <c r="N41" s="48">
        <v>-180</v>
      </c>
    </row>
    <row r="42" spans="2:14">
      <c r="B42" s="48" t="s">
        <v>321</v>
      </c>
      <c r="C42" s="48">
        <v>-279</v>
      </c>
      <c r="D42" s="48">
        <v>-395</v>
      </c>
      <c r="E42" s="48">
        <v>-352</v>
      </c>
      <c r="F42" s="48">
        <v>-396</v>
      </c>
      <c r="G42" s="48">
        <v>-396</v>
      </c>
      <c r="H42" s="38">
        <v>-1325</v>
      </c>
      <c r="I42" s="48">
        <v>-512</v>
      </c>
      <c r="J42" s="48">
        <v>-592</v>
      </c>
      <c r="K42" s="48">
        <v>-972</v>
      </c>
      <c r="L42" s="48">
        <v>-921</v>
      </c>
      <c r="M42" s="48">
        <v>-966</v>
      </c>
      <c r="N42" s="48">
        <v>-975</v>
      </c>
    </row>
    <row r="43" spans="2:14">
      <c r="B43" s="48" t="s">
        <v>38</v>
      </c>
      <c r="C43" s="48">
        <v>0</v>
      </c>
      <c r="D43" s="48">
        <v>0</v>
      </c>
      <c r="E43" s="48">
        <v>0</v>
      </c>
      <c r="F43" s="48">
        <v>0</v>
      </c>
      <c r="G43" s="48">
        <v>0</v>
      </c>
      <c r="H43" s="48">
        <v>0</v>
      </c>
      <c r="I43" s="48">
        <v>-25</v>
      </c>
      <c r="J43" s="48">
        <v>-28</v>
      </c>
      <c r="K43" s="48">
        <v>-26</v>
      </c>
      <c r="L43" s="48">
        <v>-25</v>
      </c>
      <c r="M43" s="48">
        <v>-29</v>
      </c>
      <c r="N43" s="48">
        <v>-34</v>
      </c>
    </row>
    <row r="44" spans="2:14">
      <c r="B44" s="48" t="s">
        <v>322</v>
      </c>
      <c r="C44" s="48">
        <v>-47</v>
      </c>
      <c r="D44" s="48">
        <v>-67</v>
      </c>
      <c r="E44" s="48">
        <v>-72</v>
      </c>
      <c r="F44" s="48">
        <v>-81</v>
      </c>
      <c r="G44" s="48">
        <v>-81</v>
      </c>
      <c r="H44" s="48">
        <v>-272</v>
      </c>
      <c r="I44" s="48">
        <v>-105</v>
      </c>
      <c r="J44" s="48">
        <v>0</v>
      </c>
      <c r="K44" s="48">
        <v>0</v>
      </c>
      <c r="L44" s="48">
        <v>-49</v>
      </c>
      <c r="M44" s="48">
        <v>0</v>
      </c>
      <c r="N44" s="48">
        <v>0</v>
      </c>
    </row>
    <row r="45" spans="2:14">
      <c r="B45" s="46" t="s">
        <v>323</v>
      </c>
      <c r="C45" s="46">
        <v>190</v>
      </c>
      <c r="D45" s="46">
        <v>-245</v>
      </c>
      <c r="E45" s="46">
        <v>82</v>
      </c>
      <c r="F45" s="46">
        <v>81</v>
      </c>
      <c r="G45" s="46">
        <v>-27</v>
      </c>
      <c r="H45" s="46">
        <v>-51</v>
      </c>
      <c r="I45" s="46">
        <v>54</v>
      </c>
      <c r="J45" s="46">
        <v>97</v>
      </c>
      <c r="K45" s="46">
        <v>38</v>
      </c>
      <c r="L45" s="46">
        <v>-130</v>
      </c>
      <c r="M45" s="46">
        <v>-119</v>
      </c>
      <c r="N45" s="46">
        <v>133</v>
      </c>
    </row>
  </sheetData>
  <mergeCells count="5">
    <mergeCell ref="C10:C11"/>
    <mergeCell ref="D10:D11"/>
    <mergeCell ref="E10:E11"/>
    <mergeCell ref="F10:F11"/>
    <mergeCell ref="G10:G11"/>
  </mergeCells>
  <hyperlinks>
    <hyperlink ref="C2" r:id="rId1" display="javascript:void(0);" xr:uid="{3B343C3E-2ABB-1942-B8CF-14A270D681C2}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21</vt:i4>
      </vt:variant>
      <vt:variant>
        <vt:lpstr>Named Ranges</vt:lpstr>
      </vt:variant>
      <vt:variant>
        <vt:i4>1</vt:i4>
      </vt:variant>
    </vt:vector>
  </HeadingPairs>
  <TitlesOfParts>
    <vt:vector size="22" baseType="lpstr">
      <vt:lpstr>Profile</vt:lpstr>
      <vt:lpstr>P &amp; L</vt:lpstr>
      <vt:lpstr>Balance sheet</vt:lpstr>
      <vt:lpstr>Cash Flow </vt:lpstr>
      <vt:lpstr>Sstatment of Equity</vt:lpstr>
      <vt:lpstr>Fore - P&amp; L</vt:lpstr>
      <vt:lpstr>Fore - Balan</vt:lpstr>
      <vt:lpstr>Fore - Cash Flow</vt:lpstr>
      <vt:lpstr>RATIOS</vt:lpstr>
      <vt:lpstr>Work Sheet</vt:lpstr>
      <vt:lpstr>Forecasted sheet</vt:lpstr>
      <vt:lpstr>FCFF</vt:lpstr>
      <vt:lpstr>Calculatios</vt:lpstr>
      <vt:lpstr>Beta Calculation</vt:lpstr>
      <vt:lpstr>INPUTS</vt:lpstr>
      <vt:lpstr>Forecast DVDN</vt:lpstr>
      <vt:lpstr>Calculations DVDND</vt:lpstr>
      <vt:lpstr>Sheet1</vt:lpstr>
      <vt:lpstr>Sheet6</vt:lpstr>
      <vt:lpstr>Sheet7</vt:lpstr>
      <vt:lpstr>Sheet8</vt:lpstr>
      <vt:lpstr>Profile!Print_Area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cp:lastPrinted>2025-09-23T19:26:52Z</cp:lastPrinted>
  <dcterms:created xsi:type="dcterms:W3CDTF">2025-08-14T17:53:33Z</dcterms:created>
  <dcterms:modified xsi:type="dcterms:W3CDTF">2025-09-25T08:29:28Z</dcterms:modified>
</cp:coreProperties>
</file>